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12"/>
  </bookViews>
  <sheets>
    <sheet name="original" sheetId="1" r:id="rId1"/>
    <sheet name="enero" sheetId="79" r:id="rId2"/>
    <sheet name="febrero" sheetId="80" r:id="rId3"/>
    <sheet name="marzo" sheetId="81" r:id="rId4"/>
    <sheet name="abril" sheetId="82" r:id="rId5"/>
    <sheet name="mayo" sheetId="83" r:id="rId6"/>
    <sheet name="junio" sheetId="84" r:id="rId7"/>
    <sheet name="julio" sheetId="85" r:id="rId8"/>
    <sheet name="agosto" sheetId="86" r:id="rId9"/>
    <sheet name="septiembre" sheetId="87" r:id="rId10"/>
    <sheet name="octubre" sheetId="88" r:id="rId11"/>
    <sheet name="noviembre" sheetId="89" r:id="rId12"/>
    <sheet name="diciembre" sheetId="90" r:id="rId1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90" l="1"/>
  <c r="S59" i="90"/>
  <c r="R59" i="90"/>
  <c r="Q59" i="90"/>
  <c r="P59" i="90"/>
  <c r="O59" i="90"/>
  <c r="N59" i="90"/>
  <c r="M59" i="90"/>
  <c r="L59" i="90"/>
  <c r="K59" i="90"/>
  <c r="J59" i="90"/>
  <c r="I59" i="90"/>
  <c r="G59" i="90"/>
  <c r="F59" i="90"/>
  <c r="E59" i="90"/>
  <c r="D59" i="90"/>
  <c r="C59" i="90"/>
  <c r="U57" i="90"/>
  <c r="H57" i="90"/>
  <c r="V57" i="90" s="1"/>
  <c r="U56" i="90"/>
  <c r="H56" i="90"/>
  <c r="V56" i="90" s="1"/>
  <c r="U55" i="90"/>
  <c r="H55" i="90"/>
  <c r="V55" i="90" s="1"/>
  <c r="U54" i="90"/>
  <c r="H54" i="90"/>
  <c r="V54" i="90" s="1"/>
  <c r="U53" i="90"/>
  <c r="H53" i="90"/>
  <c r="V53" i="90" s="1"/>
  <c r="U52" i="90"/>
  <c r="H52" i="90"/>
  <c r="V52" i="90" s="1"/>
  <c r="U51" i="90"/>
  <c r="H51" i="90"/>
  <c r="V51" i="90" s="1"/>
  <c r="U50" i="90"/>
  <c r="H50" i="90"/>
  <c r="V50" i="90" s="1"/>
  <c r="U49" i="90"/>
  <c r="H49" i="90"/>
  <c r="V49" i="90" s="1"/>
  <c r="U48" i="90"/>
  <c r="H48" i="90"/>
  <c r="V48" i="90" s="1"/>
  <c r="U47" i="90"/>
  <c r="H47" i="90"/>
  <c r="V47" i="90" s="1"/>
  <c r="U46" i="90"/>
  <c r="H46" i="90"/>
  <c r="V46" i="90" s="1"/>
  <c r="U45" i="90"/>
  <c r="H45" i="90"/>
  <c r="V45" i="90" s="1"/>
  <c r="U44" i="90"/>
  <c r="H44" i="90"/>
  <c r="V44" i="90" s="1"/>
  <c r="U43" i="90"/>
  <c r="H43" i="90"/>
  <c r="V43" i="90" s="1"/>
  <c r="U42" i="90"/>
  <c r="H42" i="90"/>
  <c r="V42" i="90" s="1"/>
  <c r="U41" i="90"/>
  <c r="H41" i="90"/>
  <c r="V41" i="90" s="1"/>
  <c r="U40" i="90"/>
  <c r="H40" i="90"/>
  <c r="V40" i="90" s="1"/>
  <c r="U39" i="90"/>
  <c r="H39" i="90"/>
  <c r="V39" i="90" s="1"/>
  <c r="U38" i="90"/>
  <c r="H38" i="90"/>
  <c r="V38" i="90" s="1"/>
  <c r="U37" i="90"/>
  <c r="H37" i="90"/>
  <c r="V37" i="90" s="1"/>
  <c r="U36" i="90"/>
  <c r="H36" i="90"/>
  <c r="V36" i="90" s="1"/>
  <c r="U35" i="90"/>
  <c r="H35" i="90"/>
  <c r="V35" i="90" s="1"/>
  <c r="U34" i="90"/>
  <c r="H34" i="90"/>
  <c r="V34" i="90" s="1"/>
  <c r="U33" i="90"/>
  <c r="H33" i="90"/>
  <c r="V33" i="90" s="1"/>
  <c r="U32" i="90"/>
  <c r="H32" i="90"/>
  <c r="V32" i="90" s="1"/>
  <c r="U31" i="90"/>
  <c r="H31" i="90"/>
  <c r="V31" i="90" s="1"/>
  <c r="U30" i="90"/>
  <c r="H30" i="90"/>
  <c r="V30" i="90" s="1"/>
  <c r="U29" i="90"/>
  <c r="H29" i="90"/>
  <c r="V29" i="90" s="1"/>
  <c r="U28" i="90"/>
  <c r="H28" i="90"/>
  <c r="V28" i="90" s="1"/>
  <c r="U27" i="90"/>
  <c r="H27" i="90"/>
  <c r="V27" i="90" s="1"/>
  <c r="U26" i="90"/>
  <c r="H26" i="90"/>
  <c r="V26" i="90" s="1"/>
  <c r="U25" i="90"/>
  <c r="U59" i="90" s="1"/>
  <c r="H25" i="90"/>
  <c r="T20" i="90"/>
  <c r="S20" i="90"/>
  <c r="R20" i="90"/>
  <c r="Q20" i="90"/>
  <c r="P20" i="90"/>
  <c r="O20" i="90"/>
  <c r="N20" i="90"/>
  <c r="M20" i="90"/>
  <c r="L20" i="90"/>
  <c r="K20" i="90"/>
  <c r="J20" i="90"/>
  <c r="I20" i="90"/>
  <c r="F20" i="90"/>
  <c r="D20" i="90"/>
  <c r="C20" i="90"/>
  <c r="U19" i="90"/>
  <c r="H19" i="90"/>
  <c r="V19" i="90" s="1"/>
  <c r="U18" i="90"/>
  <c r="H18" i="90"/>
  <c r="V18" i="90" s="1"/>
  <c r="U17" i="90"/>
  <c r="H17" i="90"/>
  <c r="V17" i="90" s="1"/>
  <c r="U16" i="90"/>
  <c r="H16" i="90"/>
  <c r="V16" i="90" s="1"/>
  <c r="U15" i="90"/>
  <c r="H15" i="90"/>
  <c r="V15" i="90" s="1"/>
  <c r="U14" i="90"/>
  <c r="H14" i="90"/>
  <c r="V14" i="90" s="1"/>
  <c r="U13" i="90"/>
  <c r="H13" i="90"/>
  <c r="V13" i="90" s="1"/>
  <c r="U12" i="90"/>
  <c r="H12" i="90"/>
  <c r="V12" i="90" s="1"/>
  <c r="U11" i="90"/>
  <c r="H11" i="90"/>
  <c r="V11" i="90" s="1"/>
  <c r="U10" i="90"/>
  <c r="H10" i="90"/>
  <c r="V10" i="90" s="1"/>
  <c r="U9" i="90"/>
  <c r="H9" i="90"/>
  <c r="V9" i="90" s="1"/>
  <c r="U8" i="90"/>
  <c r="U20" i="90" s="1"/>
  <c r="H8" i="90"/>
  <c r="U51" i="89"/>
  <c r="V51" i="89" s="1"/>
  <c r="H51" i="89"/>
  <c r="U50" i="89"/>
  <c r="H50" i="89"/>
  <c r="U35" i="89"/>
  <c r="H35" i="89"/>
  <c r="R59" i="89"/>
  <c r="Q59" i="89"/>
  <c r="P59" i="89"/>
  <c r="O59" i="89"/>
  <c r="N59" i="89"/>
  <c r="M59" i="89"/>
  <c r="L59" i="89"/>
  <c r="K59" i="89"/>
  <c r="J59" i="89"/>
  <c r="I59" i="89"/>
  <c r="G59" i="89"/>
  <c r="F59" i="89"/>
  <c r="E59" i="89"/>
  <c r="D59" i="89"/>
  <c r="C59" i="89"/>
  <c r="U57" i="89"/>
  <c r="H57" i="89"/>
  <c r="V57" i="89" s="1"/>
  <c r="U56" i="89"/>
  <c r="H56" i="89"/>
  <c r="V56" i="89" s="1"/>
  <c r="U55" i="89"/>
  <c r="H55" i="89"/>
  <c r="V55" i="89" s="1"/>
  <c r="U54" i="89"/>
  <c r="H54" i="89"/>
  <c r="V54" i="89" s="1"/>
  <c r="U53" i="89"/>
  <c r="H53" i="89"/>
  <c r="V53" i="89" s="1"/>
  <c r="U52" i="89"/>
  <c r="H52" i="89"/>
  <c r="V52" i="89" s="1"/>
  <c r="U49" i="89"/>
  <c r="H49" i="89"/>
  <c r="V49" i="89" s="1"/>
  <c r="U48" i="89"/>
  <c r="H48" i="89"/>
  <c r="V48" i="89" s="1"/>
  <c r="U47" i="89"/>
  <c r="H47" i="89"/>
  <c r="V47" i="89" s="1"/>
  <c r="U46" i="89"/>
  <c r="H46" i="89"/>
  <c r="V46" i="89" s="1"/>
  <c r="U45" i="89"/>
  <c r="H45" i="89"/>
  <c r="V45" i="89" s="1"/>
  <c r="U44" i="89"/>
  <c r="H44" i="89"/>
  <c r="V44" i="89" s="1"/>
  <c r="U43" i="89"/>
  <c r="H43" i="89"/>
  <c r="V43" i="89" s="1"/>
  <c r="U42" i="89"/>
  <c r="H42" i="89"/>
  <c r="V42" i="89" s="1"/>
  <c r="T59" i="89"/>
  <c r="H41" i="89"/>
  <c r="U40" i="89"/>
  <c r="H40" i="89"/>
  <c r="V40" i="89" s="1"/>
  <c r="U39" i="89"/>
  <c r="H39" i="89"/>
  <c r="V39" i="89" s="1"/>
  <c r="U38" i="89"/>
  <c r="H38" i="89"/>
  <c r="V38" i="89" s="1"/>
  <c r="U37" i="89"/>
  <c r="H37" i="89"/>
  <c r="V37" i="89" s="1"/>
  <c r="U36" i="89"/>
  <c r="H36" i="89"/>
  <c r="V36" i="89" s="1"/>
  <c r="U34" i="89"/>
  <c r="H34" i="89"/>
  <c r="V34" i="89" s="1"/>
  <c r="U33" i="89"/>
  <c r="H33" i="89"/>
  <c r="V33" i="89" s="1"/>
  <c r="U32" i="89"/>
  <c r="H32" i="89"/>
  <c r="V32" i="89" s="1"/>
  <c r="U31" i="89"/>
  <c r="H31" i="89"/>
  <c r="V31" i="89" s="1"/>
  <c r="U30" i="89"/>
  <c r="H30" i="89"/>
  <c r="V30" i="89" s="1"/>
  <c r="U29" i="89"/>
  <c r="H29" i="89"/>
  <c r="V29" i="89" s="1"/>
  <c r="U28" i="89"/>
  <c r="H28" i="89"/>
  <c r="V28" i="89" s="1"/>
  <c r="U27" i="89"/>
  <c r="H27" i="89"/>
  <c r="V27" i="89" s="1"/>
  <c r="U26" i="89"/>
  <c r="H26" i="89"/>
  <c r="V26" i="89" s="1"/>
  <c r="U25" i="89"/>
  <c r="H25" i="89"/>
  <c r="R20" i="89"/>
  <c r="Q20" i="89"/>
  <c r="P20" i="89"/>
  <c r="O20" i="89"/>
  <c r="N20" i="89"/>
  <c r="M20" i="89"/>
  <c r="L20" i="89"/>
  <c r="K20" i="89"/>
  <c r="J20" i="89"/>
  <c r="I20" i="89"/>
  <c r="F20" i="89"/>
  <c r="D20" i="89"/>
  <c r="C20" i="89"/>
  <c r="U19" i="89"/>
  <c r="H19" i="89"/>
  <c r="V19" i="89" s="1"/>
  <c r="U18" i="89"/>
  <c r="H18" i="89"/>
  <c r="V18" i="89" s="1"/>
  <c r="U17" i="89"/>
  <c r="H17" i="89"/>
  <c r="V17" i="89" s="1"/>
  <c r="U16" i="89"/>
  <c r="H16" i="89"/>
  <c r="V16" i="89" s="1"/>
  <c r="U15" i="89"/>
  <c r="H15" i="89"/>
  <c r="V15" i="89" s="1"/>
  <c r="T20" i="89"/>
  <c r="U14" i="89"/>
  <c r="H14" i="89"/>
  <c r="V14" i="89" s="1"/>
  <c r="U13" i="89"/>
  <c r="H13" i="89"/>
  <c r="V13" i="89" s="1"/>
  <c r="U12" i="89"/>
  <c r="H12" i="89"/>
  <c r="V12" i="89" s="1"/>
  <c r="U11" i="89"/>
  <c r="H11" i="89"/>
  <c r="V11" i="89" s="1"/>
  <c r="U10" i="89"/>
  <c r="H10" i="89"/>
  <c r="V10" i="89" s="1"/>
  <c r="H9" i="89"/>
  <c r="U8" i="89"/>
  <c r="H8" i="89"/>
  <c r="T50" i="88"/>
  <c r="S50" i="88"/>
  <c r="T49" i="88"/>
  <c r="S49" i="88"/>
  <c r="S40" i="88"/>
  <c r="T40" i="88"/>
  <c r="T14" i="88"/>
  <c r="S14" i="88"/>
  <c r="S9" i="88"/>
  <c r="Q56" i="88"/>
  <c r="P56" i="88"/>
  <c r="O56" i="88"/>
  <c r="N56" i="88"/>
  <c r="M56" i="88"/>
  <c r="L56" i="88"/>
  <c r="K56" i="88"/>
  <c r="J56" i="88"/>
  <c r="I56" i="88"/>
  <c r="G56" i="88"/>
  <c r="F56" i="88"/>
  <c r="E56" i="88"/>
  <c r="D56" i="88"/>
  <c r="C56" i="88"/>
  <c r="U54" i="88"/>
  <c r="H54" i="88"/>
  <c r="V54" i="88" s="1"/>
  <c r="U53" i="88"/>
  <c r="H53" i="88"/>
  <c r="V53" i="88" s="1"/>
  <c r="U52" i="88"/>
  <c r="H52" i="88"/>
  <c r="V52" i="88" s="1"/>
  <c r="U51" i="88"/>
  <c r="H51" i="88"/>
  <c r="V51" i="88" s="1"/>
  <c r="U50" i="88"/>
  <c r="H50" i="88"/>
  <c r="V50" i="88" s="1"/>
  <c r="U49" i="88"/>
  <c r="H49" i="88"/>
  <c r="V49" i="88" s="1"/>
  <c r="U48" i="88"/>
  <c r="H48" i="88"/>
  <c r="V48" i="88" s="1"/>
  <c r="U47" i="88"/>
  <c r="H47" i="88"/>
  <c r="V47" i="88" s="1"/>
  <c r="U46" i="88"/>
  <c r="H46" i="88"/>
  <c r="V46" i="88" s="1"/>
  <c r="U45" i="88"/>
  <c r="H45" i="88"/>
  <c r="V45" i="88" s="1"/>
  <c r="U44" i="88"/>
  <c r="H44" i="88"/>
  <c r="V44" i="88" s="1"/>
  <c r="U43" i="88"/>
  <c r="H43" i="88"/>
  <c r="V43" i="88" s="1"/>
  <c r="U42" i="88"/>
  <c r="H42" i="88"/>
  <c r="V42" i="88" s="1"/>
  <c r="U41" i="88"/>
  <c r="H41" i="88"/>
  <c r="V41" i="88" s="1"/>
  <c r="T56" i="88"/>
  <c r="U40" i="88"/>
  <c r="H40" i="88"/>
  <c r="V40" i="88" s="1"/>
  <c r="U39" i="88"/>
  <c r="H39" i="88"/>
  <c r="V39" i="88" s="1"/>
  <c r="U38" i="88"/>
  <c r="H38" i="88"/>
  <c r="V38" i="88" s="1"/>
  <c r="U37" i="88"/>
  <c r="H37" i="88"/>
  <c r="V37" i="88" s="1"/>
  <c r="U36" i="88"/>
  <c r="H36" i="88"/>
  <c r="V36" i="88" s="1"/>
  <c r="U35" i="88"/>
  <c r="H35" i="88"/>
  <c r="V35" i="88" s="1"/>
  <c r="U34" i="88"/>
  <c r="H34" i="88"/>
  <c r="V34" i="88" s="1"/>
  <c r="U33" i="88"/>
  <c r="H33" i="88"/>
  <c r="V33" i="88" s="1"/>
  <c r="U32" i="88"/>
  <c r="H32" i="88"/>
  <c r="V32" i="88" s="1"/>
  <c r="U31" i="88"/>
  <c r="H31" i="88"/>
  <c r="V31" i="88" s="1"/>
  <c r="U30" i="88"/>
  <c r="H30" i="88"/>
  <c r="V30" i="88" s="1"/>
  <c r="U29" i="88"/>
  <c r="H29" i="88"/>
  <c r="V29" i="88" s="1"/>
  <c r="U28" i="88"/>
  <c r="H28" i="88"/>
  <c r="V28" i="88" s="1"/>
  <c r="U27" i="88"/>
  <c r="H27" i="88"/>
  <c r="V27" i="88" s="1"/>
  <c r="U26" i="88"/>
  <c r="H26" i="88"/>
  <c r="V26" i="88" s="1"/>
  <c r="S56" i="88"/>
  <c r="H25" i="88"/>
  <c r="Q20" i="88"/>
  <c r="P20" i="88"/>
  <c r="O20" i="88"/>
  <c r="N20" i="88"/>
  <c r="M20" i="88"/>
  <c r="L20" i="88"/>
  <c r="K20" i="88"/>
  <c r="J20" i="88"/>
  <c r="I20" i="88"/>
  <c r="F20" i="88"/>
  <c r="D20" i="88"/>
  <c r="C20" i="88"/>
  <c r="U19" i="88"/>
  <c r="H19" i="88"/>
  <c r="V19" i="88" s="1"/>
  <c r="U18" i="88"/>
  <c r="H18" i="88"/>
  <c r="V18" i="88" s="1"/>
  <c r="U17" i="88"/>
  <c r="H17" i="88"/>
  <c r="V17" i="88" s="1"/>
  <c r="U16" i="88"/>
  <c r="H16" i="88"/>
  <c r="V16" i="88" s="1"/>
  <c r="U15" i="88"/>
  <c r="H15" i="88"/>
  <c r="V15" i="88" s="1"/>
  <c r="U14" i="88"/>
  <c r="H14" i="88"/>
  <c r="V14" i="88" s="1"/>
  <c r="U13" i="88"/>
  <c r="H13" i="88"/>
  <c r="V13" i="88" s="1"/>
  <c r="U12" i="88"/>
  <c r="H12" i="88"/>
  <c r="V12" i="88" s="1"/>
  <c r="U11" i="88"/>
  <c r="H11" i="88"/>
  <c r="V11" i="88" s="1"/>
  <c r="U10" i="88"/>
  <c r="H10" i="88"/>
  <c r="V10" i="88" s="1"/>
  <c r="U9" i="88"/>
  <c r="H9" i="88"/>
  <c r="V9" i="88" s="1"/>
  <c r="T20" i="88"/>
  <c r="S20" i="88"/>
  <c r="H8" i="88"/>
  <c r="T52" i="87"/>
  <c r="S52" i="87"/>
  <c r="R52" i="87"/>
  <c r="T54" i="87"/>
  <c r="S54" i="87"/>
  <c r="R54" i="87"/>
  <c r="S53" i="87"/>
  <c r="R53" i="87"/>
  <c r="T50" i="87"/>
  <c r="S50" i="87"/>
  <c r="R50" i="87"/>
  <c r="T49" i="87"/>
  <c r="S49" i="87"/>
  <c r="R49" i="87"/>
  <c r="S48" i="87"/>
  <c r="R48" i="87"/>
  <c r="S47" i="87"/>
  <c r="R47" i="87"/>
  <c r="S46" i="87"/>
  <c r="R46" i="87"/>
  <c r="S45" i="87"/>
  <c r="R45" i="87"/>
  <c r="S42" i="87"/>
  <c r="R42" i="87"/>
  <c r="T41" i="87"/>
  <c r="S41" i="87"/>
  <c r="R41" i="87"/>
  <c r="T40" i="87"/>
  <c r="S40" i="87"/>
  <c r="R40" i="87"/>
  <c r="U40" i="87" s="1"/>
  <c r="S39" i="87"/>
  <c r="R39" i="87"/>
  <c r="S38" i="87"/>
  <c r="R38" i="87"/>
  <c r="S37" i="87"/>
  <c r="R37" i="87"/>
  <c r="S36" i="87"/>
  <c r="R36" i="87"/>
  <c r="U36" i="87" s="1"/>
  <c r="S35" i="87"/>
  <c r="R35" i="87"/>
  <c r="U35" i="87" s="1"/>
  <c r="S34" i="87"/>
  <c r="R34" i="87"/>
  <c r="S33" i="87"/>
  <c r="R33" i="87"/>
  <c r="S32" i="87"/>
  <c r="R32" i="87"/>
  <c r="S31" i="87"/>
  <c r="R31" i="87"/>
  <c r="S30" i="87"/>
  <c r="R30" i="87"/>
  <c r="S29" i="87"/>
  <c r="R29" i="87"/>
  <c r="S28" i="87"/>
  <c r="R28" i="87"/>
  <c r="U28" i="87" s="1"/>
  <c r="S27" i="87"/>
  <c r="R27" i="87"/>
  <c r="S26" i="87"/>
  <c r="R26" i="87"/>
  <c r="S25" i="87"/>
  <c r="R25" i="87"/>
  <c r="T14" i="87"/>
  <c r="S14" i="87"/>
  <c r="R14" i="87"/>
  <c r="S9" i="87"/>
  <c r="R9" i="87"/>
  <c r="T8" i="87"/>
  <c r="S8" i="87"/>
  <c r="R8" i="87"/>
  <c r="P56" i="87"/>
  <c r="O56" i="87"/>
  <c r="N56" i="87"/>
  <c r="M56" i="87"/>
  <c r="L56" i="87"/>
  <c r="K56" i="87"/>
  <c r="J56" i="87"/>
  <c r="I56" i="87"/>
  <c r="G56" i="87"/>
  <c r="F56" i="87"/>
  <c r="E56" i="87"/>
  <c r="D56" i="87"/>
  <c r="C56" i="87"/>
  <c r="U54" i="87"/>
  <c r="H54" i="87"/>
  <c r="U53" i="87"/>
  <c r="H53" i="87"/>
  <c r="U52" i="87"/>
  <c r="H52" i="87"/>
  <c r="V52" i="87" s="1"/>
  <c r="U51" i="87"/>
  <c r="H51" i="87"/>
  <c r="U50" i="87"/>
  <c r="H50" i="87"/>
  <c r="H49" i="87"/>
  <c r="U48" i="87"/>
  <c r="H48" i="87"/>
  <c r="U47" i="87"/>
  <c r="H47" i="87"/>
  <c r="H46" i="87"/>
  <c r="U45" i="87"/>
  <c r="H45" i="87"/>
  <c r="U44" i="87"/>
  <c r="H44" i="87"/>
  <c r="V44" i="87" s="1"/>
  <c r="U43" i="87"/>
  <c r="H43" i="87"/>
  <c r="U42" i="87"/>
  <c r="H42" i="87"/>
  <c r="U41" i="87"/>
  <c r="H41" i="87"/>
  <c r="H40" i="87"/>
  <c r="U39" i="87"/>
  <c r="H39" i="87"/>
  <c r="U38" i="87"/>
  <c r="H38" i="87"/>
  <c r="V38" i="87" s="1"/>
  <c r="U37" i="87"/>
  <c r="H37" i="87"/>
  <c r="H36" i="87"/>
  <c r="H35" i="87"/>
  <c r="U34" i="87"/>
  <c r="H34" i="87"/>
  <c r="H33" i="87"/>
  <c r="U32" i="87"/>
  <c r="H32" i="87"/>
  <c r="U31" i="87"/>
  <c r="H31" i="87"/>
  <c r="U30" i="87"/>
  <c r="H30" i="87"/>
  <c r="V30" i="87" s="1"/>
  <c r="U29" i="87"/>
  <c r="H29" i="87"/>
  <c r="H28" i="87"/>
  <c r="H27" i="87"/>
  <c r="U26" i="87"/>
  <c r="H26" i="87"/>
  <c r="Q56" i="87"/>
  <c r="H25" i="87"/>
  <c r="H56" i="87" s="1"/>
  <c r="P20" i="87"/>
  <c r="O20" i="87"/>
  <c r="N20" i="87"/>
  <c r="M20" i="87"/>
  <c r="L20" i="87"/>
  <c r="K20" i="87"/>
  <c r="J20" i="87"/>
  <c r="I20" i="87"/>
  <c r="F20" i="87"/>
  <c r="D20" i="87"/>
  <c r="C20" i="87"/>
  <c r="U19" i="87"/>
  <c r="H19" i="87"/>
  <c r="U18" i="87"/>
  <c r="H18" i="87"/>
  <c r="U17" i="87"/>
  <c r="H17" i="87"/>
  <c r="V17" i="87" s="1"/>
  <c r="U16" i="87"/>
  <c r="H16" i="87"/>
  <c r="V16" i="87" s="1"/>
  <c r="U15" i="87"/>
  <c r="H15" i="87"/>
  <c r="T20" i="87"/>
  <c r="H14" i="87"/>
  <c r="U13" i="87"/>
  <c r="H13" i="87"/>
  <c r="U12" i="87"/>
  <c r="H12" i="87"/>
  <c r="U11" i="87"/>
  <c r="H11" i="87"/>
  <c r="U10" i="87"/>
  <c r="H10" i="87"/>
  <c r="U9" i="87"/>
  <c r="H9" i="87"/>
  <c r="Q20" i="87"/>
  <c r="H8" i="87"/>
  <c r="T52" i="86"/>
  <c r="S52" i="86"/>
  <c r="R52" i="86"/>
  <c r="Q52" i="86"/>
  <c r="T54" i="86"/>
  <c r="S54" i="86"/>
  <c r="R54" i="86"/>
  <c r="Q54" i="86"/>
  <c r="S53" i="86"/>
  <c r="R53" i="86"/>
  <c r="Q53" i="86"/>
  <c r="T50" i="86"/>
  <c r="S50" i="86"/>
  <c r="R50" i="86"/>
  <c r="Q50" i="86"/>
  <c r="T49" i="86"/>
  <c r="S49" i="86"/>
  <c r="R49" i="86"/>
  <c r="Q49" i="86"/>
  <c r="S48" i="86"/>
  <c r="R48" i="86"/>
  <c r="Q48" i="86"/>
  <c r="S47" i="86"/>
  <c r="R47" i="86"/>
  <c r="Q47" i="86"/>
  <c r="S46" i="86"/>
  <c r="R46" i="86"/>
  <c r="Q46" i="86"/>
  <c r="S45" i="86"/>
  <c r="R45" i="86"/>
  <c r="Q45" i="86"/>
  <c r="S43" i="86"/>
  <c r="R43" i="86"/>
  <c r="Q43" i="86"/>
  <c r="S42" i="86"/>
  <c r="R42" i="86"/>
  <c r="Q42" i="86"/>
  <c r="U42" i="86" s="1"/>
  <c r="T41" i="86"/>
  <c r="S41" i="86"/>
  <c r="R41" i="86"/>
  <c r="Q41" i="86"/>
  <c r="T40" i="86"/>
  <c r="S40" i="86"/>
  <c r="R40" i="86"/>
  <c r="Q40" i="86"/>
  <c r="S39" i="86"/>
  <c r="R39" i="86"/>
  <c r="Q39" i="86"/>
  <c r="S38" i="86"/>
  <c r="R38" i="86"/>
  <c r="Q38" i="86"/>
  <c r="U38" i="86" s="1"/>
  <c r="S37" i="86"/>
  <c r="R37" i="86"/>
  <c r="Q37" i="86"/>
  <c r="U37" i="86" s="1"/>
  <c r="S36" i="86"/>
  <c r="R36" i="86"/>
  <c r="Q36" i="86"/>
  <c r="U36" i="86" s="1"/>
  <c r="S35" i="86"/>
  <c r="R35" i="86"/>
  <c r="Q35" i="86"/>
  <c r="S34" i="86"/>
  <c r="R34" i="86"/>
  <c r="Q34" i="86"/>
  <c r="U34" i="86" s="1"/>
  <c r="S33" i="86"/>
  <c r="R33" i="86"/>
  <c r="Q33" i="86"/>
  <c r="U33" i="86" s="1"/>
  <c r="S32" i="86"/>
  <c r="R32" i="86"/>
  <c r="Q32" i="86"/>
  <c r="S31" i="86"/>
  <c r="R31" i="86"/>
  <c r="Q31" i="86"/>
  <c r="S30" i="86"/>
  <c r="R30" i="86"/>
  <c r="Q30" i="86"/>
  <c r="S29" i="86"/>
  <c r="R29" i="86"/>
  <c r="Q29" i="86"/>
  <c r="S28" i="86"/>
  <c r="R28" i="86"/>
  <c r="Q28" i="86"/>
  <c r="S27" i="86"/>
  <c r="R27" i="86"/>
  <c r="Q27" i="86"/>
  <c r="S26" i="86"/>
  <c r="R26" i="86"/>
  <c r="Q26" i="86"/>
  <c r="U26" i="86" s="1"/>
  <c r="S25" i="86"/>
  <c r="R25" i="86"/>
  <c r="Q25" i="86"/>
  <c r="U25" i="86" s="1"/>
  <c r="T14" i="86"/>
  <c r="S14" i="86"/>
  <c r="R14" i="86"/>
  <c r="Q14" i="86"/>
  <c r="S9" i="86"/>
  <c r="R9" i="86"/>
  <c r="Q9" i="86"/>
  <c r="T8" i="86"/>
  <c r="S8" i="86"/>
  <c r="R8" i="86"/>
  <c r="Q8" i="86"/>
  <c r="O56" i="86"/>
  <c r="N56" i="86"/>
  <c r="M56" i="86"/>
  <c r="L56" i="86"/>
  <c r="K56" i="86"/>
  <c r="J56" i="86"/>
  <c r="I56" i="86"/>
  <c r="G56" i="86"/>
  <c r="F56" i="86"/>
  <c r="E56" i="86"/>
  <c r="D56" i="86"/>
  <c r="C56" i="86"/>
  <c r="T56" i="86"/>
  <c r="U54" i="86"/>
  <c r="H54" i="86"/>
  <c r="H53" i="86"/>
  <c r="H52" i="86"/>
  <c r="U51" i="86"/>
  <c r="H51" i="86"/>
  <c r="V51" i="86" s="1"/>
  <c r="H50" i="86"/>
  <c r="H49" i="86"/>
  <c r="H48" i="86"/>
  <c r="H47" i="86"/>
  <c r="H46" i="86"/>
  <c r="H45" i="86"/>
  <c r="U44" i="86"/>
  <c r="H44" i="86"/>
  <c r="V44" i="86" s="1"/>
  <c r="U43" i="86"/>
  <c r="H43" i="86"/>
  <c r="H42" i="86"/>
  <c r="H41" i="86"/>
  <c r="H40" i="86"/>
  <c r="U39" i="86"/>
  <c r="H39" i="86"/>
  <c r="H38" i="86"/>
  <c r="H37" i="86"/>
  <c r="H36" i="86"/>
  <c r="U35" i="86"/>
  <c r="H35" i="86"/>
  <c r="H34" i="86"/>
  <c r="H33" i="86"/>
  <c r="U32" i="86"/>
  <c r="H32" i="86"/>
  <c r="U31" i="86"/>
  <c r="H31" i="86"/>
  <c r="U30" i="86"/>
  <c r="H30" i="86"/>
  <c r="U29" i="86"/>
  <c r="H29" i="86"/>
  <c r="H28" i="86"/>
  <c r="U27" i="86"/>
  <c r="H27" i="86"/>
  <c r="H26" i="86"/>
  <c r="P56" i="86"/>
  <c r="H25" i="86"/>
  <c r="T20" i="86"/>
  <c r="P20" i="86"/>
  <c r="O20" i="86"/>
  <c r="N20" i="86"/>
  <c r="M20" i="86"/>
  <c r="L20" i="86"/>
  <c r="K20" i="86"/>
  <c r="J20" i="86"/>
  <c r="I20" i="86"/>
  <c r="F20" i="86"/>
  <c r="D20" i="86"/>
  <c r="C20" i="86"/>
  <c r="U19" i="86"/>
  <c r="H19" i="86"/>
  <c r="V19" i="86" s="1"/>
  <c r="U18" i="86"/>
  <c r="H18" i="86"/>
  <c r="U17" i="86"/>
  <c r="H17" i="86"/>
  <c r="U16" i="86"/>
  <c r="H16" i="86"/>
  <c r="V16" i="86" s="1"/>
  <c r="U15" i="86"/>
  <c r="H15" i="86"/>
  <c r="H14" i="86"/>
  <c r="U13" i="86"/>
  <c r="H13" i="86"/>
  <c r="U12" i="86"/>
  <c r="H12" i="86"/>
  <c r="U11" i="86"/>
  <c r="H11" i="86"/>
  <c r="U10" i="86"/>
  <c r="H10" i="86"/>
  <c r="H9" i="86"/>
  <c r="H8" i="86"/>
  <c r="T54" i="85"/>
  <c r="S54" i="85"/>
  <c r="R54" i="85"/>
  <c r="Q54" i="85"/>
  <c r="P54" i="85"/>
  <c r="S53" i="85"/>
  <c r="R53" i="85"/>
  <c r="Q53" i="85"/>
  <c r="P53" i="85"/>
  <c r="T52" i="85"/>
  <c r="S52" i="85"/>
  <c r="R52" i="85"/>
  <c r="Q52" i="85"/>
  <c r="P52" i="85"/>
  <c r="T50" i="85"/>
  <c r="S50" i="85"/>
  <c r="R50" i="85"/>
  <c r="Q50" i="85"/>
  <c r="P50" i="85"/>
  <c r="T49" i="85"/>
  <c r="S49" i="85"/>
  <c r="R49" i="85"/>
  <c r="Q49" i="85"/>
  <c r="P49" i="85"/>
  <c r="S48" i="85"/>
  <c r="R48" i="85"/>
  <c r="Q48" i="85"/>
  <c r="P48" i="85"/>
  <c r="S47" i="85"/>
  <c r="R47" i="85"/>
  <c r="Q47" i="85"/>
  <c r="P47" i="85"/>
  <c r="S45" i="85"/>
  <c r="R45" i="85"/>
  <c r="Q45" i="85"/>
  <c r="P45" i="85"/>
  <c r="S43" i="85"/>
  <c r="R43" i="85"/>
  <c r="Q43" i="85"/>
  <c r="P43" i="85"/>
  <c r="S42" i="85"/>
  <c r="R42" i="85"/>
  <c r="Q42" i="85"/>
  <c r="P42" i="85"/>
  <c r="T41" i="85"/>
  <c r="S41" i="85"/>
  <c r="R41" i="85"/>
  <c r="Q41" i="85"/>
  <c r="P41" i="85"/>
  <c r="T40" i="85"/>
  <c r="S40" i="85"/>
  <c r="R40" i="85"/>
  <c r="Q40" i="85"/>
  <c r="P40" i="85"/>
  <c r="S39" i="85"/>
  <c r="R39" i="85"/>
  <c r="Q39" i="85"/>
  <c r="P39" i="85"/>
  <c r="S38" i="85"/>
  <c r="R38" i="85"/>
  <c r="Q38" i="85"/>
  <c r="P38" i="85"/>
  <c r="S37" i="85"/>
  <c r="R37" i="85"/>
  <c r="Q37" i="85"/>
  <c r="P37" i="85"/>
  <c r="S36" i="85"/>
  <c r="R36" i="85"/>
  <c r="Q36" i="85"/>
  <c r="P36" i="85"/>
  <c r="S35" i="85"/>
  <c r="R35" i="85"/>
  <c r="Q35" i="85"/>
  <c r="P35" i="85"/>
  <c r="S34" i="85"/>
  <c r="R34" i="85"/>
  <c r="Q34" i="85"/>
  <c r="P34" i="85"/>
  <c r="S33" i="85"/>
  <c r="R33" i="85"/>
  <c r="Q33" i="85"/>
  <c r="P33" i="85"/>
  <c r="S32" i="85"/>
  <c r="R32" i="85"/>
  <c r="Q32" i="85"/>
  <c r="P32" i="85"/>
  <c r="S31" i="85"/>
  <c r="R31" i="85"/>
  <c r="Q31" i="85"/>
  <c r="P31" i="85"/>
  <c r="S30" i="85"/>
  <c r="R30" i="85"/>
  <c r="Q30" i="85"/>
  <c r="P30" i="85"/>
  <c r="S29" i="85"/>
  <c r="R29" i="85"/>
  <c r="Q29" i="85"/>
  <c r="P29" i="85"/>
  <c r="S28" i="85"/>
  <c r="R28" i="85"/>
  <c r="Q28" i="85"/>
  <c r="P28" i="85"/>
  <c r="S27" i="85"/>
  <c r="R27" i="85"/>
  <c r="Q27" i="85"/>
  <c r="P27" i="85"/>
  <c r="S26" i="85"/>
  <c r="R26" i="85"/>
  <c r="Q26" i="85"/>
  <c r="P26" i="85"/>
  <c r="S25" i="85"/>
  <c r="R25" i="85"/>
  <c r="Q25" i="85"/>
  <c r="P25" i="85"/>
  <c r="T14" i="85"/>
  <c r="S14" i="85"/>
  <c r="R14" i="85"/>
  <c r="Q14" i="85"/>
  <c r="P14" i="85"/>
  <c r="T9" i="85"/>
  <c r="S9" i="85"/>
  <c r="R9" i="85"/>
  <c r="Q9" i="85"/>
  <c r="P9" i="85"/>
  <c r="T8" i="85"/>
  <c r="S8" i="85"/>
  <c r="R8" i="85"/>
  <c r="Q8" i="85"/>
  <c r="P8" i="85"/>
  <c r="N56" i="85"/>
  <c r="M56" i="85"/>
  <c r="L56" i="85"/>
  <c r="K56" i="85"/>
  <c r="J56" i="85"/>
  <c r="I56" i="85"/>
  <c r="G56" i="85"/>
  <c r="F56" i="85"/>
  <c r="E56" i="85"/>
  <c r="D56" i="85"/>
  <c r="C56" i="85"/>
  <c r="H54" i="85"/>
  <c r="H53" i="85"/>
  <c r="U52" i="85"/>
  <c r="H52" i="85"/>
  <c r="U51" i="85"/>
  <c r="H51" i="85"/>
  <c r="H50" i="85"/>
  <c r="U49" i="85"/>
  <c r="H49" i="85"/>
  <c r="H48" i="85"/>
  <c r="H47" i="85"/>
  <c r="S46" i="85"/>
  <c r="R46" i="85"/>
  <c r="Q46" i="85"/>
  <c r="P46" i="85"/>
  <c r="U46" i="85"/>
  <c r="H46" i="85"/>
  <c r="U45" i="85"/>
  <c r="H45" i="85"/>
  <c r="U44" i="85"/>
  <c r="H44" i="85"/>
  <c r="U43" i="85"/>
  <c r="H43" i="85"/>
  <c r="H42" i="85"/>
  <c r="U41" i="85"/>
  <c r="H41" i="85"/>
  <c r="H40" i="85"/>
  <c r="H39" i="85"/>
  <c r="U38" i="85"/>
  <c r="H38" i="85"/>
  <c r="H37" i="85"/>
  <c r="H36" i="85"/>
  <c r="H35" i="85"/>
  <c r="U34" i="85"/>
  <c r="H34" i="85"/>
  <c r="H33" i="85"/>
  <c r="H32" i="85"/>
  <c r="H31" i="85"/>
  <c r="U30" i="85"/>
  <c r="H30" i="85"/>
  <c r="H29" i="85"/>
  <c r="H28" i="85"/>
  <c r="H27" i="85"/>
  <c r="U26" i="85"/>
  <c r="H26" i="85"/>
  <c r="O56" i="85"/>
  <c r="H25" i="85"/>
  <c r="Q20" i="85"/>
  <c r="N20" i="85"/>
  <c r="M20" i="85"/>
  <c r="L20" i="85"/>
  <c r="K20" i="85"/>
  <c r="J20" i="85"/>
  <c r="I20" i="85"/>
  <c r="F20" i="85"/>
  <c r="D20" i="85"/>
  <c r="C20" i="85"/>
  <c r="U19" i="85"/>
  <c r="H19" i="85"/>
  <c r="V19" i="85" s="1"/>
  <c r="U18" i="85"/>
  <c r="H18" i="85"/>
  <c r="U17" i="85"/>
  <c r="H17" i="85"/>
  <c r="U16" i="85"/>
  <c r="H16" i="85"/>
  <c r="U15" i="85"/>
  <c r="H15" i="85"/>
  <c r="U14" i="85"/>
  <c r="H14" i="85"/>
  <c r="U13" i="85"/>
  <c r="H13" i="85"/>
  <c r="U12" i="85"/>
  <c r="H12" i="85"/>
  <c r="U11" i="85"/>
  <c r="H11" i="85"/>
  <c r="U10" i="85"/>
  <c r="H10" i="85"/>
  <c r="H9" i="85"/>
  <c r="T20" i="85"/>
  <c r="H8" i="85"/>
  <c r="H20" i="85" s="1"/>
  <c r="H20" i="90" l="1"/>
  <c r="V8" i="90"/>
  <c r="V20" i="90" s="1"/>
  <c r="H59" i="90"/>
  <c r="V25" i="90"/>
  <c r="V59" i="90" s="1"/>
  <c r="V50" i="89"/>
  <c r="V35" i="89"/>
  <c r="H20" i="89"/>
  <c r="V8" i="89"/>
  <c r="S20" i="89"/>
  <c r="U9" i="89"/>
  <c r="H59" i="89"/>
  <c r="V25" i="89"/>
  <c r="S59" i="89"/>
  <c r="U41" i="89"/>
  <c r="H20" i="88"/>
  <c r="R20" i="88"/>
  <c r="U8" i="88"/>
  <c r="H56" i="88"/>
  <c r="R56" i="88"/>
  <c r="U25" i="88"/>
  <c r="V11" i="85"/>
  <c r="V12" i="85"/>
  <c r="V17" i="85"/>
  <c r="V18" i="85"/>
  <c r="V26" i="85"/>
  <c r="V30" i="85"/>
  <c r="V34" i="85"/>
  <c r="V38" i="85"/>
  <c r="H56" i="85"/>
  <c r="V43" i="85"/>
  <c r="V52" i="85"/>
  <c r="S20" i="85"/>
  <c r="U27" i="85"/>
  <c r="V27" i="85" s="1"/>
  <c r="U28" i="85"/>
  <c r="V28" i="85" s="1"/>
  <c r="U31" i="85"/>
  <c r="V31" i="85" s="1"/>
  <c r="U32" i="85"/>
  <c r="V32" i="85" s="1"/>
  <c r="U35" i="85"/>
  <c r="V35" i="85" s="1"/>
  <c r="U36" i="85"/>
  <c r="V36" i="85" s="1"/>
  <c r="U39" i="85"/>
  <c r="V39" i="85" s="1"/>
  <c r="U40" i="85"/>
  <c r="U42" i="85"/>
  <c r="U48" i="85"/>
  <c r="U50" i="85"/>
  <c r="U53" i="85"/>
  <c r="V53" i="85" s="1"/>
  <c r="U54" i="85"/>
  <c r="V10" i="86"/>
  <c r="V13" i="86"/>
  <c r="V15" i="86"/>
  <c r="V18" i="86"/>
  <c r="V29" i="86"/>
  <c r="V30" i="86"/>
  <c r="V43" i="86"/>
  <c r="V54" i="86"/>
  <c r="U9" i="86"/>
  <c r="V9" i="86" s="1"/>
  <c r="U14" i="86"/>
  <c r="V14" i="86" s="1"/>
  <c r="S20" i="86"/>
  <c r="V26" i="86"/>
  <c r="U28" i="86"/>
  <c r="V33" i="86"/>
  <c r="V34" i="86"/>
  <c r="V37" i="86"/>
  <c r="V38" i="86"/>
  <c r="U40" i="86"/>
  <c r="U41" i="86"/>
  <c r="U45" i="86"/>
  <c r="U46" i="86"/>
  <c r="U47" i="86"/>
  <c r="V47" i="86" s="1"/>
  <c r="U48" i="86"/>
  <c r="V48" i="86" s="1"/>
  <c r="U49" i="86"/>
  <c r="V49" i="86" s="1"/>
  <c r="U50" i="86"/>
  <c r="V50" i="86" s="1"/>
  <c r="U52" i="86"/>
  <c r="V11" i="87"/>
  <c r="V12" i="87"/>
  <c r="V15" i="87"/>
  <c r="V19" i="87"/>
  <c r="V45" i="87"/>
  <c r="V47" i="87"/>
  <c r="V50" i="87"/>
  <c r="V53" i="87"/>
  <c r="U25" i="87"/>
  <c r="R56" i="87"/>
  <c r="U33" i="87"/>
  <c r="V40" i="87"/>
  <c r="U49" i="87"/>
  <c r="V49" i="87" s="1"/>
  <c r="T56" i="87"/>
  <c r="U46" i="87"/>
  <c r="V39" i="87"/>
  <c r="V31" i="87"/>
  <c r="V28" i="87"/>
  <c r="U27" i="87"/>
  <c r="V27" i="87" s="1"/>
  <c r="S56" i="87"/>
  <c r="U14" i="87"/>
  <c r="V14" i="87" s="1"/>
  <c r="S20" i="87"/>
  <c r="R20" i="87"/>
  <c r="V29" i="87"/>
  <c r="V37" i="87"/>
  <c r="V33" i="87"/>
  <c r="V51" i="87"/>
  <c r="V35" i="87"/>
  <c r="V36" i="87"/>
  <c r="V42" i="87"/>
  <c r="V43" i="87"/>
  <c r="V54" i="87"/>
  <c r="V13" i="87"/>
  <c r="U8" i="87"/>
  <c r="V9" i="87"/>
  <c r="V10" i="87"/>
  <c r="V18" i="87"/>
  <c r="V32" i="87"/>
  <c r="V26" i="87"/>
  <c r="V34" i="87"/>
  <c r="V41" i="87"/>
  <c r="V46" i="87"/>
  <c r="V48" i="87"/>
  <c r="H20" i="87"/>
  <c r="V25" i="87"/>
  <c r="U53" i="86"/>
  <c r="V53" i="86" s="1"/>
  <c r="V46" i="86"/>
  <c r="V42" i="86"/>
  <c r="V41" i="86"/>
  <c r="V40" i="86"/>
  <c r="S56" i="86"/>
  <c r="V36" i="86"/>
  <c r="R56" i="86"/>
  <c r="V32" i="86"/>
  <c r="Q56" i="86"/>
  <c r="R20" i="86"/>
  <c r="U8" i="86"/>
  <c r="U20" i="86" s="1"/>
  <c r="V31" i="86"/>
  <c r="V35" i="86"/>
  <c r="V39" i="86"/>
  <c r="V52" i="86"/>
  <c r="V28" i="86"/>
  <c r="V11" i="86"/>
  <c r="V17" i="86"/>
  <c r="Q20" i="86"/>
  <c r="V12" i="86"/>
  <c r="V27" i="86"/>
  <c r="V45" i="86"/>
  <c r="H20" i="86"/>
  <c r="V25" i="86"/>
  <c r="H56" i="86"/>
  <c r="V50" i="85"/>
  <c r="T56" i="85"/>
  <c r="P56" i="85"/>
  <c r="S56" i="85"/>
  <c r="V49" i="85"/>
  <c r="U47" i="85"/>
  <c r="V47" i="85" s="1"/>
  <c r="V45" i="85"/>
  <c r="Q56" i="85"/>
  <c r="R56" i="85"/>
  <c r="U37" i="85"/>
  <c r="V37" i="85" s="1"/>
  <c r="U33" i="85"/>
  <c r="V33" i="85" s="1"/>
  <c r="U29" i="85"/>
  <c r="V29" i="85" s="1"/>
  <c r="V40" i="85"/>
  <c r="R20" i="85"/>
  <c r="V44" i="85"/>
  <c r="V10" i="85"/>
  <c r="V13" i="85"/>
  <c r="V15" i="85"/>
  <c r="V14" i="85"/>
  <c r="V16" i="85"/>
  <c r="O20" i="85"/>
  <c r="U9" i="85"/>
  <c r="P20" i="85"/>
  <c r="U8" i="85"/>
  <c r="V8" i="85" s="1"/>
  <c r="V54" i="85"/>
  <c r="V9" i="85"/>
  <c r="U25" i="85"/>
  <c r="V41" i="85"/>
  <c r="V46" i="85"/>
  <c r="V48" i="85"/>
  <c r="V51" i="85"/>
  <c r="V42" i="85"/>
  <c r="S53" i="84"/>
  <c r="R53" i="84"/>
  <c r="Q53" i="84"/>
  <c r="P53" i="84"/>
  <c r="O53" i="84"/>
  <c r="S53" i="83"/>
  <c r="R53" i="83"/>
  <c r="Q53" i="83"/>
  <c r="P53" i="83"/>
  <c r="O53" i="83"/>
  <c r="N53" i="83"/>
  <c r="S53" i="82"/>
  <c r="R53" i="82"/>
  <c r="Q53" i="82"/>
  <c r="P53" i="82"/>
  <c r="O53" i="82"/>
  <c r="N53" i="82"/>
  <c r="M53" i="82"/>
  <c r="U59" i="89" l="1"/>
  <c r="V41" i="89"/>
  <c r="V59" i="89"/>
  <c r="U20" i="89"/>
  <c r="V9" i="89"/>
  <c r="V20" i="89"/>
  <c r="U56" i="88"/>
  <c r="V25" i="88"/>
  <c r="V56" i="88" s="1"/>
  <c r="U20" i="88"/>
  <c r="V8" i="88"/>
  <c r="V20" i="88" s="1"/>
  <c r="U56" i="87"/>
  <c r="U20" i="87"/>
  <c r="V8" i="87"/>
  <c r="V20" i="87" s="1"/>
  <c r="V56" i="87"/>
  <c r="U56" i="86"/>
  <c r="V8" i="86"/>
  <c r="V20" i="86" s="1"/>
  <c r="V56" i="86"/>
  <c r="V20" i="85"/>
  <c r="U20" i="85"/>
  <c r="U56" i="85"/>
  <c r="V25" i="85"/>
  <c r="V56" i="85" s="1"/>
  <c r="T54" i="84"/>
  <c r="P54" i="84"/>
  <c r="Q54" i="84"/>
  <c r="R54" i="84"/>
  <c r="S54" i="84"/>
  <c r="O54" i="84"/>
  <c r="P51" i="84"/>
  <c r="Q51" i="84"/>
  <c r="R51" i="84"/>
  <c r="S51" i="84"/>
  <c r="T51" i="84"/>
  <c r="O51" i="84"/>
  <c r="P50" i="84"/>
  <c r="Q50" i="84"/>
  <c r="R50" i="84"/>
  <c r="S50" i="84"/>
  <c r="T50" i="84"/>
  <c r="O50" i="84"/>
  <c r="P49" i="84"/>
  <c r="Q49" i="84"/>
  <c r="R49" i="84"/>
  <c r="S49" i="84"/>
  <c r="T49" i="84"/>
  <c r="O49" i="84"/>
  <c r="P48" i="84"/>
  <c r="Q48" i="84"/>
  <c r="R48" i="84"/>
  <c r="S48" i="84"/>
  <c r="O48" i="84"/>
  <c r="P47" i="84"/>
  <c r="Q47" i="84"/>
  <c r="R47" i="84"/>
  <c r="S47" i="84"/>
  <c r="O47" i="84"/>
  <c r="P46" i="84"/>
  <c r="Q46" i="84"/>
  <c r="R46" i="84"/>
  <c r="S46" i="84"/>
  <c r="O46" i="84"/>
  <c r="P45" i="84"/>
  <c r="Q45" i="84"/>
  <c r="R45" i="84"/>
  <c r="S45" i="84"/>
  <c r="O45" i="84"/>
  <c r="P43" i="84"/>
  <c r="Q43" i="84"/>
  <c r="R43" i="84"/>
  <c r="S43" i="84"/>
  <c r="O43" i="84"/>
  <c r="P42" i="84"/>
  <c r="Q42" i="84"/>
  <c r="R42" i="84"/>
  <c r="S42" i="84"/>
  <c r="T42" i="84"/>
  <c r="P41" i="84"/>
  <c r="Q41" i="84"/>
  <c r="R41" i="84"/>
  <c r="S41" i="84"/>
  <c r="T41" i="84"/>
  <c r="O41" i="84"/>
  <c r="P40" i="84"/>
  <c r="Q40" i="84"/>
  <c r="R40" i="84"/>
  <c r="S40" i="84"/>
  <c r="T40" i="84"/>
  <c r="O40" i="84"/>
  <c r="P38" i="84"/>
  <c r="Q38" i="84"/>
  <c r="R38" i="84"/>
  <c r="S38" i="84"/>
  <c r="O38" i="84"/>
  <c r="P39" i="84"/>
  <c r="Q39" i="84"/>
  <c r="R39" i="84"/>
  <c r="S39" i="84"/>
  <c r="O39" i="84"/>
  <c r="P37" i="84"/>
  <c r="Q37" i="84"/>
  <c r="R37" i="84"/>
  <c r="S37" i="84"/>
  <c r="O37" i="84"/>
  <c r="P35" i="84"/>
  <c r="Q35" i="84"/>
  <c r="R35" i="84"/>
  <c r="S35" i="84"/>
  <c r="O35" i="84"/>
  <c r="P34" i="84"/>
  <c r="Q34" i="84"/>
  <c r="R34" i="84"/>
  <c r="S34" i="84"/>
  <c r="O34" i="84"/>
  <c r="P33" i="84"/>
  <c r="Q33" i="84"/>
  <c r="R33" i="84"/>
  <c r="S33" i="84"/>
  <c r="O33" i="84"/>
  <c r="P32" i="84"/>
  <c r="Q32" i="84"/>
  <c r="R32" i="84"/>
  <c r="S32" i="84"/>
  <c r="O32" i="84"/>
  <c r="P31" i="84"/>
  <c r="Q31" i="84"/>
  <c r="R31" i="84"/>
  <c r="S31" i="84"/>
  <c r="O31" i="84"/>
  <c r="P29" i="84"/>
  <c r="Q29" i="84"/>
  <c r="R29" i="84"/>
  <c r="S29" i="84"/>
  <c r="O29" i="84"/>
  <c r="U11" i="84"/>
  <c r="P9" i="84"/>
  <c r="Q9" i="84"/>
  <c r="R9" i="84"/>
  <c r="S9" i="84"/>
  <c r="T9" i="84"/>
  <c r="O9" i="84"/>
  <c r="T8" i="84"/>
  <c r="P8" i="84"/>
  <c r="Q8" i="84"/>
  <c r="R8" i="84"/>
  <c r="S8" i="84"/>
  <c r="O8" i="84"/>
  <c r="P14" i="84"/>
  <c r="Q14" i="84"/>
  <c r="R14" i="84"/>
  <c r="S14" i="84"/>
  <c r="T14" i="84"/>
  <c r="O14" i="84"/>
  <c r="M56" i="84"/>
  <c r="L56" i="84"/>
  <c r="K56" i="84"/>
  <c r="J56" i="84"/>
  <c r="I56" i="84"/>
  <c r="G56" i="84"/>
  <c r="F56" i="84"/>
  <c r="E56" i="84"/>
  <c r="D56" i="84"/>
  <c r="C56" i="84"/>
  <c r="H54" i="84"/>
  <c r="U53" i="84"/>
  <c r="H53" i="84"/>
  <c r="U52" i="84"/>
  <c r="H52" i="84"/>
  <c r="U51" i="84"/>
  <c r="H51" i="84"/>
  <c r="H50" i="84"/>
  <c r="H49" i="84"/>
  <c r="H48" i="84"/>
  <c r="H47" i="84"/>
  <c r="H46" i="84"/>
  <c r="U45" i="84"/>
  <c r="H45" i="84"/>
  <c r="U44" i="84"/>
  <c r="H44" i="84"/>
  <c r="U43" i="84"/>
  <c r="H43" i="84"/>
  <c r="O42" i="84"/>
  <c r="H42" i="84"/>
  <c r="U41" i="84"/>
  <c r="H41" i="84"/>
  <c r="T56" i="84"/>
  <c r="H40" i="84"/>
  <c r="U39" i="84"/>
  <c r="H39" i="84"/>
  <c r="H38" i="84"/>
  <c r="H37" i="84"/>
  <c r="S36" i="84"/>
  <c r="R36" i="84"/>
  <c r="Q36" i="84"/>
  <c r="P36" i="84"/>
  <c r="O36" i="84"/>
  <c r="H36" i="84"/>
  <c r="H35" i="84"/>
  <c r="H34" i="84"/>
  <c r="H33" i="84"/>
  <c r="H32" i="84"/>
  <c r="H31" i="84"/>
  <c r="S30" i="84"/>
  <c r="R30" i="84"/>
  <c r="Q30" i="84"/>
  <c r="P30" i="84"/>
  <c r="O30" i="84"/>
  <c r="U30" i="84" s="1"/>
  <c r="H30" i="84"/>
  <c r="N56" i="84"/>
  <c r="H29" i="84"/>
  <c r="S28" i="84"/>
  <c r="R28" i="84"/>
  <c r="Q28" i="84"/>
  <c r="P28" i="84"/>
  <c r="O28" i="84"/>
  <c r="U28" i="84" s="1"/>
  <c r="H28" i="84"/>
  <c r="V28" i="84" s="1"/>
  <c r="S27" i="84"/>
  <c r="R27" i="84"/>
  <c r="Q27" i="84"/>
  <c r="P27" i="84"/>
  <c r="O27" i="84"/>
  <c r="H27" i="84"/>
  <c r="S26" i="84"/>
  <c r="R26" i="84"/>
  <c r="Q26" i="84"/>
  <c r="P26" i="84"/>
  <c r="O26" i="84"/>
  <c r="H26" i="84"/>
  <c r="S25" i="84"/>
  <c r="R25" i="84"/>
  <c r="Q25" i="84"/>
  <c r="Q56" i="84" s="1"/>
  <c r="P25" i="84"/>
  <c r="P56" i="84" s="1"/>
  <c r="O25" i="84"/>
  <c r="H25" i="84"/>
  <c r="M20" i="84"/>
  <c r="L20" i="84"/>
  <c r="K20" i="84"/>
  <c r="J20" i="84"/>
  <c r="I20" i="84"/>
  <c r="F20" i="84"/>
  <c r="D20" i="84"/>
  <c r="C20" i="84"/>
  <c r="U19" i="84"/>
  <c r="H19" i="84"/>
  <c r="V19" i="84" s="1"/>
  <c r="U18" i="84"/>
  <c r="H18" i="84"/>
  <c r="U17" i="84"/>
  <c r="H17" i="84"/>
  <c r="U16" i="84"/>
  <c r="H16" i="84"/>
  <c r="U15" i="84"/>
  <c r="H15" i="84"/>
  <c r="V15" i="84" s="1"/>
  <c r="H14" i="84"/>
  <c r="U13" i="84"/>
  <c r="H13" i="84"/>
  <c r="U12" i="84"/>
  <c r="H12" i="84"/>
  <c r="H11" i="84"/>
  <c r="U10" i="84"/>
  <c r="H10" i="84"/>
  <c r="H9" i="84"/>
  <c r="T20" i="84"/>
  <c r="Q20" i="84"/>
  <c r="P20" i="84"/>
  <c r="O20" i="84"/>
  <c r="N20" i="84"/>
  <c r="H8" i="84"/>
  <c r="O54" i="83"/>
  <c r="P54" i="83"/>
  <c r="Q54" i="83"/>
  <c r="R54" i="83"/>
  <c r="S54" i="83"/>
  <c r="T54" i="83"/>
  <c r="N54" i="83"/>
  <c r="U53" i="83"/>
  <c r="O51" i="83"/>
  <c r="P51" i="83"/>
  <c r="Q51" i="83"/>
  <c r="R51" i="83"/>
  <c r="S51" i="83"/>
  <c r="T51" i="83"/>
  <c r="N51" i="83"/>
  <c r="O50" i="83"/>
  <c r="P50" i="83"/>
  <c r="Q50" i="83"/>
  <c r="R50" i="83"/>
  <c r="S50" i="83"/>
  <c r="T50" i="83"/>
  <c r="N50" i="83"/>
  <c r="O49" i="83"/>
  <c r="P49" i="83"/>
  <c r="Q49" i="83"/>
  <c r="R49" i="83"/>
  <c r="S49" i="83"/>
  <c r="T49" i="83"/>
  <c r="N49" i="83"/>
  <c r="O48" i="83"/>
  <c r="P48" i="83"/>
  <c r="Q48" i="83"/>
  <c r="R48" i="83"/>
  <c r="S48" i="83"/>
  <c r="N48" i="83"/>
  <c r="O47" i="83"/>
  <c r="P47" i="83"/>
  <c r="Q47" i="83"/>
  <c r="R47" i="83"/>
  <c r="S47" i="83"/>
  <c r="N47" i="83"/>
  <c r="O46" i="83"/>
  <c r="P46" i="83"/>
  <c r="Q46" i="83"/>
  <c r="R46" i="83"/>
  <c r="S46" i="83"/>
  <c r="N46" i="83"/>
  <c r="O45" i="83"/>
  <c r="P45" i="83"/>
  <c r="Q45" i="83"/>
  <c r="R45" i="83"/>
  <c r="S45" i="83"/>
  <c r="N45" i="83"/>
  <c r="O43" i="83"/>
  <c r="P43" i="83"/>
  <c r="Q43" i="83"/>
  <c r="R43" i="83"/>
  <c r="S43" i="83"/>
  <c r="N43" i="83"/>
  <c r="O42" i="83"/>
  <c r="P42" i="83"/>
  <c r="Q42" i="83"/>
  <c r="R42" i="83"/>
  <c r="S42" i="83"/>
  <c r="N42" i="83"/>
  <c r="O41" i="83"/>
  <c r="P41" i="83"/>
  <c r="Q41" i="83"/>
  <c r="R41" i="83"/>
  <c r="S41" i="83"/>
  <c r="T41" i="83"/>
  <c r="N41" i="83"/>
  <c r="O40" i="83"/>
  <c r="P40" i="83"/>
  <c r="Q40" i="83"/>
  <c r="R40" i="83"/>
  <c r="S40" i="83"/>
  <c r="T40" i="83"/>
  <c r="N40" i="83"/>
  <c r="O39" i="83"/>
  <c r="P39" i="83"/>
  <c r="Q39" i="83"/>
  <c r="R39" i="83"/>
  <c r="S39" i="83"/>
  <c r="N39" i="83"/>
  <c r="O38" i="83"/>
  <c r="P38" i="83"/>
  <c r="Q38" i="83"/>
  <c r="R38" i="83"/>
  <c r="S38" i="83"/>
  <c r="N38" i="83"/>
  <c r="O37" i="83"/>
  <c r="P37" i="83"/>
  <c r="Q37" i="83"/>
  <c r="R37" i="83"/>
  <c r="S37" i="83"/>
  <c r="N37" i="83"/>
  <c r="O35" i="83"/>
  <c r="P35" i="83"/>
  <c r="Q35" i="83"/>
  <c r="R35" i="83"/>
  <c r="S35" i="83"/>
  <c r="O34" i="83"/>
  <c r="P34" i="83"/>
  <c r="Q34" i="83"/>
  <c r="R34" i="83"/>
  <c r="S34" i="83"/>
  <c r="N35" i="83"/>
  <c r="N34" i="83"/>
  <c r="O33" i="83"/>
  <c r="P33" i="83"/>
  <c r="Q33" i="83"/>
  <c r="R33" i="83"/>
  <c r="S33" i="83"/>
  <c r="N33" i="83"/>
  <c r="O32" i="83"/>
  <c r="P32" i="83"/>
  <c r="Q32" i="83"/>
  <c r="R32" i="83"/>
  <c r="S32" i="83"/>
  <c r="N32" i="83"/>
  <c r="O31" i="83"/>
  <c r="P31" i="83"/>
  <c r="Q31" i="83"/>
  <c r="R31" i="83"/>
  <c r="S31" i="83"/>
  <c r="N31" i="83"/>
  <c r="O29" i="83"/>
  <c r="P29" i="83"/>
  <c r="Q29" i="83"/>
  <c r="R29" i="83"/>
  <c r="S29" i="83"/>
  <c r="N29" i="83"/>
  <c r="U11" i="83"/>
  <c r="U10" i="83"/>
  <c r="T14" i="83"/>
  <c r="N14" i="83"/>
  <c r="O14" i="83"/>
  <c r="P14" i="83"/>
  <c r="Q14" i="83"/>
  <c r="R14" i="83"/>
  <c r="S14" i="83"/>
  <c r="O9" i="83"/>
  <c r="P9" i="83"/>
  <c r="Q9" i="83"/>
  <c r="R9" i="83"/>
  <c r="S9" i="83"/>
  <c r="N9" i="83"/>
  <c r="O8" i="83"/>
  <c r="P8" i="83"/>
  <c r="Q8" i="83"/>
  <c r="R8" i="83"/>
  <c r="S8" i="83"/>
  <c r="T8" i="83"/>
  <c r="N8" i="83"/>
  <c r="N14" i="82"/>
  <c r="O14" i="82"/>
  <c r="P14" i="82"/>
  <c r="Q14" i="82"/>
  <c r="R14" i="82"/>
  <c r="S14" i="82"/>
  <c r="T14" i="82"/>
  <c r="M14" i="82"/>
  <c r="L56" i="83"/>
  <c r="K56" i="83"/>
  <c r="J56" i="83"/>
  <c r="I56" i="83"/>
  <c r="G56" i="83"/>
  <c r="F56" i="83"/>
  <c r="E56" i="83"/>
  <c r="D56" i="83"/>
  <c r="C56" i="83"/>
  <c r="U54" i="83"/>
  <c r="H54" i="83"/>
  <c r="H53" i="83"/>
  <c r="U52" i="83"/>
  <c r="H52" i="83"/>
  <c r="H51" i="83"/>
  <c r="H50" i="83"/>
  <c r="U49" i="83"/>
  <c r="H49" i="83"/>
  <c r="H48" i="83"/>
  <c r="U47" i="83"/>
  <c r="H47" i="83"/>
  <c r="H46" i="83"/>
  <c r="H45" i="83"/>
  <c r="U44" i="83"/>
  <c r="H44" i="83"/>
  <c r="H43" i="83"/>
  <c r="H42" i="83"/>
  <c r="H41" i="83"/>
  <c r="T56" i="83"/>
  <c r="H40" i="83"/>
  <c r="H39" i="83"/>
  <c r="H38" i="83"/>
  <c r="H37" i="83"/>
  <c r="S36" i="83"/>
  <c r="R36" i="83"/>
  <c r="Q36" i="83"/>
  <c r="P36" i="83"/>
  <c r="O36" i="83"/>
  <c r="U36" i="83" s="1"/>
  <c r="H36" i="83"/>
  <c r="H35" i="83"/>
  <c r="U34" i="83"/>
  <c r="H34" i="83"/>
  <c r="H33" i="83"/>
  <c r="H32" i="83"/>
  <c r="H31" i="83"/>
  <c r="S30" i="83"/>
  <c r="R30" i="83"/>
  <c r="Q30" i="83"/>
  <c r="P30" i="83"/>
  <c r="O30" i="83"/>
  <c r="H30" i="83"/>
  <c r="N56" i="83"/>
  <c r="M56" i="83"/>
  <c r="H29" i="83"/>
  <c r="S28" i="83"/>
  <c r="R28" i="83"/>
  <c r="Q28" i="83"/>
  <c r="P28" i="83"/>
  <c r="O28" i="83"/>
  <c r="U28" i="83" s="1"/>
  <c r="H28" i="83"/>
  <c r="S27" i="83"/>
  <c r="R27" i="83"/>
  <c r="Q27" i="83"/>
  <c r="P27" i="83"/>
  <c r="O27" i="83"/>
  <c r="U27" i="83" s="1"/>
  <c r="H27" i="83"/>
  <c r="S26" i="83"/>
  <c r="R26" i="83"/>
  <c r="Q26" i="83"/>
  <c r="P26" i="83"/>
  <c r="O26" i="83"/>
  <c r="U26" i="83" s="1"/>
  <c r="H26" i="83"/>
  <c r="S25" i="83"/>
  <c r="R25" i="83"/>
  <c r="Q25" i="83"/>
  <c r="P25" i="83"/>
  <c r="P56" i="83" s="1"/>
  <c r="O25" i="83"/>
  <c r="H25" i="83"/>
  <c r="L20" i="83"/>
  <c r="K20" i="83"/>
  <c r="J20" i="83"/>
  <c r="I20" i="83"/>
  <c r="F20" i="83"/>
  <c r="D20" i="83"/>
  <c r="C20" i="83"/>
  <c r="U19" i="83"/>
  <c r="H19" i="83"/>
  <c r="U18" i="83"/>
  <c r="H18" i="83"/>
  <c r="U17" i="83"/>
  <c r="H17" i="83"/>
  <c r="U16" i="83"/>
  <c r="H16" i="83"/>
  <c r="U15" i="83"/>
  <c r="H15" i="83"/>
  <c r="H14" i="83"/>
  <c r="U13" i="83"/>
  <c r="H13" i="83"/>
  <c r="U12" i="83"/>
  <c r="H12" i="83"/>
  <c r="H11" i="83"/>
  <c r="H10" i="83"/>
  <c r="U9" i="83"/>
  <c r="H9" i="83"/>
  <c r="T20" i="83"/>
  <c r="S20" i="83"/>
  <c r="P20" i="83"/>
  <c r="O20" i="83"/>
  <c r="N20" i="83"/>
  <c r="M20" i="83"/>
  <c r="H8" i="83"/>
  <c r="P28" i="82"/>
  <c r="Q28" i="82"/>
  <c r="R28" i="82"/>
  <c r="S28" i="82"/>
  <c r="O28" i="82"/>
  <c r="N54" i="82"/>
  <c r="O54" i="82"/>
  <c r="P54" i="82"/>
  <c r="Q54" i="82"/>
  <c r="R54" i="82"/>
  <c r="S54" i="82"/>
  <c r="T54" i="82"/>
  <c r="U53" i="82"/>
  <c r="N52" i="82"/>
  <c r="O52" i="82"/>
  <c r="P52" i="82"/>
  <c r="Q52" i="82"/>
  <c r="R52" i="82"/>
  <c r="S52" i="82"/>
  <c r="T52" i="82"/>
  <c r="M54" i="82"/>
  <c r="M52" i="82"/>
  <c r="N51" i="82"/>
  <c r="O51" i="82"/>
  <c r="P51" i="82"/>
  <c r="Q51" i="82"/>
  <c r="R51" i="82"/>
  <c r="S51" i="82"/>
  <c r="T51" i="82"/>
  <c r="M51" i="82"/>
  <c r="N50" i="82"/>
  <c r="O50" i="82"/>
  <c r="P50" i="82"/>
  <c r="Q50" i="82"/>
  <c r="R50" i="82"/>
  <c r="S50" i="82"/>
  <c r="T50" i="82"/>
  <c r="M50" i="82"/>
  <c r="N49" i="82"/>
  <c r="O49" i="82"/>
  <c r="P49" i="82"/>
  <c r="Q49" i="82"/>
  <c r="R49" i="82"/>
  <c r="S49" i="82"/>
  <c r="T49" i="82"/>
  <c r="M49" i="82"/>
  <c r="N48" i="82"/>
  <c r="O48" i="82"/>
  <c r="P48" i="82"/>
  <c r="Q48" i="82"/>
  <c r="R48" i="82"/>
  <c r="S48" i="82"/>
  <c r="M48" i="82"/>
  <c r="N47" i="82"/>
  <c r="O47" i="82"/>
  <c r="P47" i="82"/>
  <c r="Q47" i="82"/>
  <c r="R47" i="82"/>
  <c r="S47" i="82"/>
  <c r="M47" i="82"/>
  <c r="N46" i="82"/>
  <c r="O46" i="82"/>
  <c r="P46" i="82"/>
  <c r="Q46" i="82"/>
  <c r="R46" i="82"/>
  <c r="S46" i="82"/>
  <c r="M46" i="82"/>
  <c r="N45" i="82"/>
  <c r="O45" i="82"/>
  <c r="P45" i="82"/>
  <c r="Q45" i="82"/>
  <c r="R45" i="82"/>
  <c r="S45" i="82"/>
  <c r="M45" i="82"/>
  <c r="U44" i="82"/>
  <c r="N43" i="82"/>
  <c r="O43" i="82"/>
  <c r="P43" i="82"/>
  <c r="Q43" i="82"/>
  <c r="R43" i="82"/>
  <c r="S43" i="82"/>
  <c r="M43" i="82"/>
  <c r="N42" i="82"/>
  <c r="O42" i="82"/>
  <c r="P42" i="82"/>
  <c r="Q42" i="82"/>
  <c r="R42" i="82"/>
  <c r="S42" i="82"/>
  <c r="M42" i="82"/>
  <c r="T40" i="82"/>
  <c r="N40" i="82"/>
  <c r="O40" i="82"/>
  <c r="P40" i="82"/>
  <c r="Q40" i="82"/>
  <c r="R40" i="82"/>
  <c r="S40" i="82"/>
  <c r="M40" i="82"/>
  <c r="N41" i="82"/>
  <c r="O41" i="82"/>
  <c r="P41" i="82"/>
  <c r="Q41" i="82"/>
  <c r="R41" i="82"/>
  <c r="S41" i="82"/>
  <c r="T41" i="82"/>
  <c r="M41" i="82"/>
  <c r="U40" i="82"/>
  <c r="N39" i="82"/>
  <c r="O39" i="82"/>
  <c r="P39" i="82"/>
  <c r="Q39" i="82"/>
  <c r="R39" i="82"/>
  <c r="S39" i="82"/>
  <c r="M39" i="82"/>
  <c r="M38" i="82"/>
  <c r="N38" i="82"/>
  <c r="O38" i="82"/>
  <c r="P38" i="82"/>
  <c r="Q38" i="82"/>
  <c r="R38" i="82"/>
  <c r="S38" i="82"/>
  <c r="U38" i="82"/>
  <c r="N37" i="82"/>
  <c r="O37" i="82"/>
  <c r="P37" i="82"/>
  <c r="Q37" i="82"/>
  <c r="R37" i="82"/>
  <c r="S37" i="82"/>
  <c r="M37" i="82"/>
  <c r="N35" i="82"/>
  <c r="O35" i="82"/>
  <c r="P35" i="82"/>
  <c r="Q35" i="82"/>
  <c r="R35" i="82"/>
  <c r="S35" i="82"/>
  <c r="M35" i="82"/>
  <c r="N34" i="82"/>
  <c r="O34" i="82"/>
  <c r="P34" i="82"/>
  <c r="Q34" i="82"/>
  <c r="R34" i="82"/>
  <c r="S34" i="82"/>
  <c r="M34" i="82"/>
  <c r="N33" i="82"/>
  <c r="O33" i="82"/>
  <c r="P33" i="82"/>
  <c r="Q33" i="82"/>
  <c r="R33" i="82"/>
  <c r="S33" i="82"/>
  <c r="M33" i="82"/>
  <c r="N32" i="82"/>
  <c r="O32" i="82"/>
  <c r="P32" i="82"/>
  <c r="Q32" i="82"/>
  <c r="R32" i="82"/>
  <c r="S32" i="82"/>
  <c r="M32" i="82"/>
  <c r="N31" i="82"/>
  <c r="O31" i="82"/>
  <c r="P31" i="82"/>
  <c r="Q31" i="82"/>
  <c r="R31" i="82"/>
  <c r="S31" i="82"/>
  <c r="M31" i="82"/>
  <c r="S30" i="82"/>
  <c r="P30" i="82"/>
  <c r="Q30" i="82"/>
  <c r="R30" i="82"/>
  <c r="O30" i="82"/>
  <c r="N29" i="82"/>
  <c r="O29" i="82"/>
  <c r="P29" i="82"/>
  <c r="Q29" i="82"/>
  <c r="R29" i="82"/>
  <c r="S29" i="82"/>
  <c r="M29" i="82"/>
  <c r="P26" i="82"/>
  <c r="Q26" i="82"/>
  <c r="R26" i="82"/>
  <c r="S26" i="82"/>
  <c r="O26" i="82"/>
  <c r="P25" i="82"/>
  <c r="Q25" i="82"/>
  <c r="R25" i="82"/>
  <c r="S25" i="82"/>
  <c r="O25" i="82"/>
  <c r="H53" i="82"/>
  <c r="U39" i="82"/>
  <c r="H39" i="82"/>
  <c r="H34" i="82"/>
  <c r="H33" i="82"/>
  <c r="H28" i="82"/>
  <c r="C56" i="82"/>
  <c r="H25" i="82"/>
  <c r="H48" i="82"/>
  <c r="H49" i="82"/>
  <c r="H50" i="82"/>
  <c r="H51" i="82"/>
  <c r="H52" i="82"/>
  <c r="H54" i="82"/>
  <c r="H40" i="82"/>
  <c r="H26" i="82"/>
  <c r="U12" i="82"/>
  <c r="C20" i="82"/>
  <c r="N9" i="82"/>
  <c r="O9" i="82"/>
  <c r="P9" i="82"/>
  <c r="Q9" i="82"/>
  <c r="R9" i="82"/>
  <c r="S9" i="82"/>
  <c r="M9" i="82"/>
  <c r="N8" i="82"/>
  <c r="O8" i="82"/>
  <c r="P8" i="82"/>
  <c r="Q8" i="82"/>
  <c r="R8" i="82"/>
  <c r="S8" i="82"/>
  <c r="S20" i="82" s="1"/>
  <c r="T8" i="82"/>
  <c r="M8" i="82"/>
  <c r="M20" i="82" s="1"/>
  <c r="K56" i="82"/>
  <c r="J56" i="82"/>
  <c r="I56" i="82"/>
  <c r="G56" i="82"/>
  <c r="F56" i="82"/>
  <c r="E56" i="82"/>
  <c r="D56" i="82"/>
  <c r="U52" i="82"/>
  <c r="H47" i="82"/>
  <c r="U46" i="82"/>
  <c r="H46" i="82"/>
  <c r="H45" i="82"/>
  <c r="H44" i="82"/>
  <c r="H43" i="82"/>
  <c r="H42" i="82"/>
  <c r="U41" i="82"/>
  <c r="H41" i="82"/>
  <c r="H38" i="82"/>
  <c r="H37" i="82"/>
  <c r="S36" i="82"/>
  <c r="R36" i="82"/>
  <c r="Q36" i="82"/>
  <c r="P36" i="82"/>
  <c r="O36" i="82"/>
  <c r="H36" i="82"/>
  <c r="H35" i="82"/>
  <c r="H32" i="82"/>
  <c r="H31" i="82"/>
  <c r="H30" i="82"/>
  <c r="M56" i="82"/>
  <c r="H29" i="82"/>
  <c r="S27" i="82"/>
  <c r="R27" i="82"/>
  <c r="Q27" i="82"/>
  <c r="P27" i="82"/>
  <c r="O27" i="82"/>
  <c r="H27" i="82"/>
  <c r="K20" i="82"/>
  <c r="J20" i="82"/>
  <c r="I20" i="82"/>
  <c r="F20" i="82"/>
  <c r="D20" i="82"/>
  <c r="U19" i="82"/>
  <c r="H19" i="82"/>
  <c r="U18" i="82"/>
  <c r="H18" i="82"/>
  <c r="U17" i="82"/>
  <c r="H17" i="82"/>
  <c r="U16" i="82"/>
  <c r="H16" i="82"/>
  <c r="U15" i="82"/>
  <c r="H15" i="82"/>
  <c r="H14" i="82"/>
  <c r="U13" i="82"/>
  <c r="H13" i="82"/>
  <c r="V13" i="82" s="1"/>
  <c r="H12" i="82"/>
  <c r="H11" i="82"/>
  <c r="U10" i="82"/>
  <c r="H10" i="82"/>
  <c r="H9" i="82"/>
  <c r="T20" i="82"/>
  <c r="P20" i="82"/>
  <c r="O20" i="82"/>
  <c r="H8" i="82"/>
  <c r="U36" i="82" l="1"/>
  <c r="R20" i="82"/>
  <c r="N20" i="82"/>
  <c r="U29" i="82"/>
  <c r="U31" i="82"/>
  <c r="U33" i="82"/>
  <c r="U34" i="82"/>
  <c r="U42" i="82"/>
  <c r="U43" i="82"/>
  <c r="U45" i="82"/>
  <c r="U47" i="82"/>
  <c r="U48" i="82"/>
  <c r="U49" i="82"/>
  <c r="U50" i="82"/>
  <c r="U51" i="82"/>
  <c r="U54" i="82"/>
  <c r="V17" i="83"/>
  <c r="U25" i="83"/>
  <c r="O56" i="83"/>
  <c r="U30" i="83"/>
  <c r="V30" i="83" s="1"/>
  <c r="U29" i="83"/>
  <c r="U31" i="83"/>
  <c r="U32" i="83"/>
  <c r="U33" i="83"/>
  <c r="U35" i="83"/>
  <c r="U37" i="83"/>
  <c r="U38" i="83"/>
  <c r="U39" i="83"/>
  <c r="U40" i="83"/>
  <c r="U41" i="83"/>
  <c r="U42" i="83"/>
  <c r="U43" i="83"/>
  <c r="V43" i="83" s="1"/>
  <c r="U45" i="83"/>
  <c r="U46" i="83"/>
  <c r="U48" i="83"/>
  <c r="S56" i="83"/>
  <c r="U50" i="83"/>
  <c r="U51" i="83"/>
  <c r="V53" i="83"/>
  <c r="V18" i="84"/>
  <c r="O56" i="84"/>
  <c r="U25" i="84"/>
  <c r="U26" i="84"/>
  <c r="V26" i="84" s="1"/>
  <c r="U27" i="84"/>
  <c r="V30" i="84"/>
  <c r="U36" i="84"/>
  <c r="V41" i="84"/>
  <c r="V52" i="84"/>
  <c r="U14" i="84"/>
  <c r="V14" i="84" s="1"/>
  <c r="U8" i="84"/>
  <c r="U9" i="84"/>
  <c r="U31" i="84"/>
  <c r="U32" i="84"/>
  <c r="U33" i="84"/>
  <c r="U34" i="84"/>
  <c r="U35" i="84"/>
  <c r="U37" i="84"/>
  <c r="U38" i="84"/>
  <c r="U40" i="84"/>
  <c r="U42" i="84"/>
  <c r="U46" i="84"/>
  <c r="U47" i="84"/>
  <c r="U48" i="84"/>
  <c r="U49" i="84"/>
  <c r="U50" i="84"/>
  <c r="U54" i="84"/>
  <c r="V40" i="84"/>
  <c r="V17" i="84"/>
  <c r="H56" i="84"/>
  <c r="H20" i="84"/>
  <c r="V10" i="83"/>
  <c r="V50" i="83"/>
  <c r="V13" i="83"/>
  <c r="V40" i="83"/>
  <c r="V12" i="83"/>
  <c r="V16" i="83"/>
  <c r="V49" i="83"/>
  <c r="V45" i="83"/>
  <c r="V15" i="83"/>
  <c r="V47" i="83"/>
  <c r="V53" i="84"/>
  <c r="V51" i="84"/>
  <c r="V49" i="84"/>
  <c r="V47" i="84"/>
  <c r="V39" i="84"/>
  <c r="V35" i="84"/>
  <c r="V32" i="84"/>
  <c r="R56" i="84"/>
  <c r="S56" i="84"/>
  <c r="V31" i="84"/>
  <c r="V34" i="84"/>
  <c r="V48" i="84"/>
  <c r="V36" i="84"/>
  <c r="V44" i="84"/>
  <c r="V12" i="84"/>
  <c r="S20" i="84"/>
  <c r="R20" i="84"/>
  <c r="V9" i="84"/>
  <c r="V10" i="84"/>
  <c r="V13" i="84"/>
  <c r="V16" i="84"/>
  <c r="U20" i="84"/>
  <c r="V38" i="84"/>
  <c r="V37" i="84"/>
  <c r="V43" i="84"/>
  <c r="V46" i="84"/>
  <c r="V54" i="84"/>
  <c r="V11" i="84"/>
  <c r="V27" i="84"/>
  <c r="V33" i="84"/>
  <c r="V42" i="84"/>
  <c r="V45" i="84"/>
  <c r="V50" i="84"/>
  <c r="V8" i="84"/>
  <c r="V25" i="84"/>
  <c r="U29" i="84"/>
  <c r="U56" i="84" s="1"/>
  <c r="V51" i="83"/>
  <c r="V42" i="83"/>
  <c r="V39" i="83"/>
  <c r="V34" i="83"/>
  <c r="V33" i="83"/>
  <c r="Q56" i="83"/>
  <c r="R56" i="83"/>
  <c r="V29" i="83"/>
  <c r="V37" i="83"/>
  <c r="V41" i="83"/>
  <c r="V52" i="83"/>
  <c r="V26" i="83"/>
  <c r="V28" i="83"/>
  <c r="V32" i="83"/>
  <c r="V44" i="83"/>
  <c r="V31" i="83"/>
  <c r="V35" i="83"/>
  <c r="V36" i="83"/>
  <c r="U14" i="83"/>
  <c r="V18" i="83"/>
  <c r="Q20" i="83"/>
  <c r="R20" i="83"/>
  <c r="V9" i="83"/>
  <c r="V19" i="83"/>
  <c r="V46" i="83"/>
  <c r="V48" i="83"/>
  <c r="V14" i="83"/>
  <c r="V25" i="83"/>
  <c r="V27" i="83"/>
  <c r="V54" i="83"/>
  <c r="V11" i="83"/>
  <c r="U56" i="83"/>
  <c r="V38" i="83"/>
  <c r="H20" i="83"/>
  <c r="H56" i="83"/>
  <c r="U8" i="83"/>
  <c r="V19" i="82"/>
  <c r="U27" i="82"/>
  <c r="T56" i="82"/>
  <c r="U11" i="82"/>
  <c r="V11" i="82" s="1"/>
  <c r="U14" i="82"/>
  <c r="V14" i="82" s="1"/>
  <c r="U32" i="82"/>
  <c r="U8" i="82"/>
  <c r="U26" i="82"/>
  <c r="V26" i="82" s="1"/>
  <c r="U28" i="82"/>
  <c r="V28" i="82" s="1"/>
  <c r="U30" i="82"/>
  <c r="U37" i="82"/>
  <c r="V39" i="82"/>
  <c r="U35" i="82"/>
  <c r="V35" i="82" s="1"/>
  <c r="V34" i="82"/>
  <c r="V33" i="82"/>
  <c r="Q56" i="82"/>
  <c r="V53" i="82"/>
  <c r="N56" i="82"/>
  <c r="V46" i="82"/>
  <c r="V27" i="82"/>
  <c r="V36" i="82"/>
  <c r="V45" i="82"/>
  <c r="V43" i="82"/>
  <c r="V47" i="82"/>
  <c r="V30" i="82"/>
  <c r="V38" i="82"/>
  <c r="O56" i="82"/>
  <c r="V32" i="82"/>
  <c r="V42" i="82"/>
  <c r="U25" i="82"/>
  <c r="V25" i="82" s="1"/>
  <c r="V10" i="82"/>
  <c r="S56" i="82"/>
  <c r="H56" i="82"/>
  <c r="R56" i="82"/>
  <c r="V12" i="82"/>
  <c r="V17" i="82"/>
  <c r="V16" i="82"/>
  <c r="V50" i="82"/>
  <c r="V52" i="82"/>
  <c r="V29" i="82"/>
  <c r="V37" i="82"/>
  <c r="V41" i="82"/>
  <c r="V44" i="82"/>
  <c r="V48" i="82"/>
  <c r="Q20" i="82"/>
  <c r="H20" i="82"/>
  <c r="U9" i="82"/>
  <c r="V18" i="82"/>
  <c r="V15" i="82"/>
  <c r="V8" i="82"/>
  <c r="V40" i="82"/>
  <c r="V49" i="82"/>
  <c r="V51" i="82"/>
  <c r="V54" i="82"/>
  <c r="V9" i="82"/>
  <c r="V31" i="82"/>
  <c r="L56" i="82"/>
  <c r="P56" i="82"/>
  <c r="L20" i="82"/>
  <c r="T48" i="81"/>
  <c r="S48" i="81"/>
  <c r="R48" i="81"/>
  <c r="Q48" i="81"/>
  <c r="P48" i="81"/>
  <c r="O48" i="81"/>
  <c r="N48" i="81"/>
  <c r="M48" i="81"/>
  <c r="L48" i="81"/>
  <c r="T47" i="81"/>
  <c r="S47" i="81"/>
  <c r="R47" i="81"/>
  <c r="Q47" i="81"/>
  <c r="P47" i="81"/>
  <c r="O47" i="81"/>
  <c r="N47" i="81"/>
  <c r="M47" i="81"/>
  <c r="L47" i="81"/>
  <c r="T46" i="81"/>
  <c r="S46" i="81"/>
  <c r="R46" i="81"/>
  <c r="Q46" i="81"/>
  <c r="P46" i="81"/>
  <c r="O46" i="81"/>
  <c r="N46" i="81"/>
  <c r="M46" i="81"/>
  <c r="L46" i="81"/>
  <c r="T45" i="81"/>
  <c r="S45" i="81"/>
  <c r="R45" i="81"/>
  <c r="Q45" i="81"/>
  <c r="P45" i="81"/>
  <c r="O45" i="81"/>
  <c r="N45" i="81"/>
  <c r="M45" i="81"/>
  <c r="L45" i="81"/>
  <c r="U45" i="81" s="1"/>
  <c r="T44" i="81"/>
  <c r="S44" i="81"/>
  <c r="R44" i="81"/>
  <c r="Q44" i="81"/>
  <c r="P44" i="81"/>
  <c r="O44" i="81"/>
  <c r="N44" i="81"/>
  <c r="M44" i="81"/>
  <c r="L44" i="81"/>
  <c r="S43" i="81"/>
  <c r="R43" i="81"/>
  <c r="Q43" i="81"/>
  <c r="P43" i="81"/>
  <c r="O43" i="81"/>
  <c r="N43" i="81"/>
  <c r="M43" i="81"/>
  <c r="L43" i="81"/>
  <c r="S42" i="81"/>
  <c r="R42" i="81"/>
  <c r="Q42" i="81"/>
  <c r="P42" i="81"/>
  <c r="O42" i="81"/>
  <c r="N42" i="81"/>
  <c r="M42" i="81"/>
  <c r="L42" i="81"/>
  <c r="S41" i="81"/>
  <c r="R41" i="81"/>
  <c r="Q41" i="81"/>
  <c r="P41" i="81"/>
  <c r="O41" i="81"/>
  <c r="N41" i="81"/>
  <c r="M41" i="81"/>
  <c r="L41" i="81"/>
  <c r="S40" i="81"/>
  <c r="R40" i="81"/>
  <c r="Q40" i="81"/>
  <c r="P40" i="81"/>
  <c r="O40" i="81"/>
  <c r="N40" i="81"/>
  <c r="M40" i="81"/>
  <c r="L40" i="81"/>
  <c r="S39" i="81"/>
  <c r="R39" i="81"/>
  <c r="Q39" i="81"/>
  <c r="P39" i="81"/>
  <c r="O39" i="81"/>
  <c r="N39" i="81"/>
  <c r="M39" i="81"/>
  <c r="L39" i="81"/>
  <c r="S38" i="81"/>
  <c r="R38" i="81"/>
  <c r="Q38" i="81"/>
  <c r="P38" i="81"/>
  <c r="O38" i="81"/>
  <c r="N38" i="81"/>
  <c r="M38" i="81"/>
  <c r="L38" i="81"/>
  <c r="S37" i="81"/>
  <c r="R37" i="81"/>
  <c r="Q37" i="81"/>
  <c r="P37" i="81"/>
  <c r="O37" i="81"/>
  <c r="N37" i="81"/>
  <c r="M37" i="81"/>
  <c r="L37" i="81"/>
  <c r="T36" i="81"/>
  <c r="S36" i="81"/>
  <c r="R36" i="81"/>
  <c r="Q36" i="81"/>
  <c r="P36" i="81"/>
  <c r="O36" i="81"/>
  <c r="N36" i="81"/>
  <c r="M36" i="81"/>
  <c r="L36" i="81"/>
  <c r="T35" i="81"/>
  <c r="S35" i="81"/>
  <c r="R35" i="81"/>
  <c r="Q35" i="81"/>
  <c r="P35" i="81"/>
  <c r="O35" i="81"/>
  <c r="N35" i="81"/>
  <c r="M35" i="81"/>
  <c r="L35" i="81"/>
  <c r="S34" i="81"/>
  <c r="R34" i="81"/>
  <c r="Q34" i="81"/>
  <c r="P34" i="81"/>
  <c r="O34" i="81"/>
  <c r="N34" i="81"/>
  <c r="M34" i="81"/>
  <c r="L34" i="81"/>
  <c r="S33" i="81"/>
  <c r="R33" i="81"/>
  <c r="Q33" i="81"/>
  <c r="P33" i="81"/>
  <c r="O33" i="81"/>
  <c r="N33" i="81"/>
  <c r="M33" i="81"/>
  <c r="L33" i="81"/>
  <c r="S31" i="81"/>
  <c r="R31" i="81"/>
  <c r="Q31" i="81"/>
  <c r="P31" i="81"/>
  <c r="O31" i="81"/>
  <c r="N31" i="81"/>
  <c r="M31" i="81"/>
  <c r="L31" i="81"/>
  <c r="S30" i="81"/>
  <c r="R30" i="81"/>
  <c r="Q30" i="81"/>
  <c r="P30" i="81"/>
  <c r="O30" i="81"/>
  <c r="N30" i="81"/>
  <c r="M30" i="81"/>
  <c r="L30" i="81"/>
  <c r="S29" i="81"/>
  <c r="R29" i="81"/>
  <c r="Q29" i="81"/>
  <c r="P29" i="81"/>
  <c r="O29" i="81"/>
  <c r="N29" i="81"/>
  <c r="M29" i="81"/>
  <c r="L29" i="81"/>
  <c r="S27" i="81"/>
  <c r="R27" i="81"/>
  <c r="Q27" i="81"/>
  <c r="P27" i="81"/>
  <c r="O27" i="81"/>
  <c r="N27" i="81"/>
  <c r="M27" i="81"/>
  <c r="L27" i="81"/>
  <c r="U27" i="81" s="1"/>
  <c r="T14" i="81"/>
  <c r="S14" i="81"/>
  <c r="R14" i="81"/>
  <c r="Q14" i="81"/>
  <c r="P14" i="81"/>
  <c r="O14" i="81"/>
  <c r="N14" i="81"/>
  <c r="M14" i="81"/>
  <c r="L14" i="81"/>
  <c r="T8" i="81"/>
  <c r="S9" i="81"/>
  <c r="R9" i="81"/>
  <c r="Q9" i="81"/>
  <c r="P9" i="81"/>
  <c r="O9" i="81"/>
  <c r="N9" i="81"/>
  <c r="M9" i="81"/>
  <c r="S8" i="81"/>
  <c r="S20" i="81" s="1"/>
  <c r="R8" i="81"/>
  <c r="Q8" i="81"/>
  <c r="P8" i="81"/>
  <c r="P20" i="81" s="1"/>
  <c r="O8" i="81"/>
  <c r="O20" i="81" s="1"/>
  <c r="N8" i="81"/>
  <c r="M8" i="81"/>
  <c r="L8" i="81"/>
  <c r="L9" i="81"/>
  <c r="H14" i="81"/>
  <c r="U10" i="81"/>
  <c r="H10" i="81"/>
  <c r="U11" i="81"/>
  <c r="H11" i="81"/>
  <c r="J50" i="81"/>
  <c r="I50" i="81"/>
  <c r="G50" i="81"/>
  <c r="F50" i="81"/>
  <c r="E50" i="81"/>
  <c r="D50" i="81"/>
  <c r="C50" i="81"/>
  <c r="H48" i="81"/>
  <c r="H47" i="81"/>
  <c r="H46" i="81"/>
  <c r="H45" i="81"/>
  <c r="H44" i="81"/>
  <c r="H43" i="81"/>
  <c r="H42" i="81"/>
  <c r="U41" i="81"/>
  <c r="H41" i="81"/>
  <c r="H40" i="81"/>
  <c r="H39" i="81"/>
  <c r="H38" i="81"/>
  <c r="H37" i="81"/>
  <c r="H36" i="81"/>
  <c r="H35" i="81"/>
  <c r="H34" i="81"/>
  <c r="H33" i="81"/>
  <c r="S32" i="81"/>
  <c r="R32" i="81"/>
  <c r="Q32" i="81"/>
  <c r="P32" i="81"/>
  <c r="O32" i="81"/>
  <c r="H32" i="81"/>
  <c r="H31" i="81"/>
  <c r="H30" i="81"/>
  <c r="H29" i="81"/>
  <c r="S28" i="81"/>
  <c r="R28" i="81"/>
  <c r="Q28" i="81"/>
  <c r="P28" i="81"/>
  <c r="O28" i="81"/>
  <c r="H28" i="81"/>
  <c r="H27" i="81"/>
  <c r="S26" i="81"/>
  <c r="R26" i="81"/>
  <c r="Q26" i="81"/>
  <c r="P26" i="81"/>
  <c r="O26" i="81"/>
  <c r="H26" i="81"/>
  <c r="S25" i="81"/>
  <c r="R25" i="81"/>
  <c r="Q25" i="81"/>
  <c r="P25" i="81"/>
  <c r="O25" i="81"/>
  <c r="H25" i="81"/>
  <c r="J20" i="81"/>
  <c r="I20" i="81"/>
  <c r="F20" i="81"/>
  <c r="D20" i="81"/>
  <c r="C20" i="81"/>
  <c r="U19" i="81"/>
  <c r="H19" i="81"/>
  <c r="U18" i="81"/>
  <c r="H18" i="81"/>
  <c r="U17" i="81"/>
  <c r="H17" i="81"/>
  <c r="U16" i="81"/>
  <c r="H16" i="81"/>
  <c r="U15" i="81"/>
  <c r="H15" i="81"/>
  <c r="U13" i="81"/>
  <c r="H13" i="81"/>
  <c r="U12" i="81"/>
  <c r="H12" i="81"/>
  <c r="H9" i="81"/>
  <c r="T20" i="81"/>
  <c r="H8" i="81"/>
  <c r="T45" i="80"/>
  <c r="S45" i="80"/>
  <c r="R45" i="80"/>
  <c r="Q45" i="80"/>
  <c r="P45" i="80"/>
  <c r="O45" i="80"/>
  <c r="N45" i="80"/>
  <c r="M45" i="80"/>
  <c r="L45" i="80"/>
  <c r="K45" i="80"/>
  <c r="T44" i="80"/>
  <c r="S44" i="80"/>
  <c r="R44" i="80"/>
  <c r="Q44" i="80"/>
  <c r="P44" i="80"/>
  <c r="O44" i="80"/>
  <c r="N44" i="80"/>
  <c r="M44" i="80"/>
  <c r="L44" i="80"/>
  <c r="K44" i="80"/>
  <c r="T43" i="80"/>
  <c r="S43" i="80"/>
  <c r="R43" i="80"/>
  <c r="Q43" i="80"/>
  <c r="P43" i="80"/>
  <c r="O43" i="80"/>
  <c r="N43" i="80"/>
  <c r="M43" i="80"/>
  <c r="L43" i="80"/>
  <c r="K43" i="80"/>
  <c r="T42" i="80"/>
  <c r="S42" i="80"/>
  <c r="R42" i="80"/>
  <c r="Q42" i="80"/>
  <c r="P42" i="80"/>
  <c r="O42" i="80"/>
  <c r="N42" i="80"/>
  <c r="M42" i="80"/>
  <c r="L42" i="80"/>
  <c r="K42" i="80"/>
  <c r="T41" i="80"/>
  <c r="S41" i="80"/>
  <c r="R41" i="80"/>
  <c r="Q41" i="80"/>
  <c r="P41" i="80"/>
  <c r="O41" i="80"/>
  <c r="N41" i="80"/>
  <c r="M41" i="80"/>
  <c r="L41" i="80"/>
  <c r="K41" i="80"/>
  <c r="S40" i="80"/>
  <c r="R40" i="80"/>
  <c r="Q40" i="80"/>
  <c r="P40" i="80"/>
  <c r="O40" i="80"/>
  <c r="N40" i="80"/>
  <c r="M40" i="80"/>
  <c r="L40" i="80"/>
  <c r="K40" i="80"/>
  <c r="S39" i="80"/>
  <c r="R39" i="80"/>
  <c r="Q39" i="80"/>
  <c r="P39" i="80"/>
  <c r="O39" i="80"/>
  <c r="N39" i="80"/>
  <c r="M39" i="80"/>
  <c r="L39" i="80"/>
  <c r="K39" i="80"/>
  <c r="S38" i="80"/>
  <c r="R38" i="80"/>
  <c r="Q38" i="80"/>
  <c r="P38" i="80"/>
  <c r="O38" i="80"/>
  <c r="N38" i="80"/>
  <c r="M38" i="80"/>
  <c r="L38" i="80"/>
  <c r="K38" i="80"/>
  <c r="U38" i="80" s="1"/>
  <c r="S37" i="80"/>
  <c r="R37" i="80"/>
  <c r="Q37" i="80"/>
  <c r="P37" i="80"/>
  <c r="O37" i="80"/>
  <c r="N37" i="80"/>
  <c r="M37" i="80"/>
  <c r="L37" i="80"/>
  <c r="K37" i="80"/>
  <c r="S36" i="80"/>
  <c r="R36" i="80"/>
  <c r="Q36" i="80"/>
  <c r="P36" i="80"/>
  <c r="O36" i="80"/>
  <c r="N36" i="80"/>
  <c r="M36" i="80"/>
  <c r="L36" i="80"/>
  <c r="K36" i="80"/>
  <c r="S35" i="80"/>
  <c r="R35" i="80"/>
  <c r="Q35" i="80"/>
  <c r="P35" i="80"/>
  <c r="O35" i="80"/>
  <c r="N35" i="80"/>
  <c r="M35" i="80"/>
  <c r="L35" i="80"/>
  <c r="K35" i="80"/>
  <c r="U35" i="80" s="1"/>
  <c r="S34" i="80"/>
  <c r="R34" i="80"/>
  <c r="Q34" i="80"/>
  <c r="P34" i="80"/>
  <c r="O34" i="80"/>
  <c r="N34" i="80"/>
  <c r="M34" i="80"/>
  <c r="L34" i="80"/>
  <c r="K34" i="80"/>
  <c r="T33" i="80"/>
  <c r="S33" i="80"/>
  <c r="R33" i="80"/>
  <c r="Q33" i="80"/>
  <c r="P33" i="80"/>
  <c r="O33" i="80"/>
  <c r="N33" i="80"/>
  <c r="M33" i="80"/>
  <c r="L33" i="80"/>
  <c r="K33" i="80"/>
  <c r="T32" i="80"/>
  <c r="S32" i="80"/>
  <c r="R32" i="80"/>
  <c r="Q32" i="80"/>
  <c r="P32" i="80"/>
  <c r="O32" i="80"/>
  <c r="N32" i="80"/>
  <c r="M32" i="80"/>
  <c r="L32" i="80"/>
  <c r="K32" i="80"/>
  <c r="S31" i="80"/>
  <c r="R31" i="80"/>
  <c r="Q31" i="80"/>
  <c r="P31" i="80"/>
  <c r="O31" i="80"/>
  <c r="N31" i="80"/>
  <c r="M31" i="80"/>
  <c r="L31" i="80"/>
  <c r="K31" i="80"/>
  <c r="S30" i="80"/>
  <c r="R30" i="80"/>
  <c r="Q30" i="80"/>
  <c r="P30" i="80"/>
  <c r="O30" i="80"/>
  <c r="N30" i="80"/>
  <c r="M30" i="80"/>
  <c r="L30" i="80"/>
  <c r="K30" i="80"/>
  <c r="S28" i="80"/>
  <c r="R28" i="80"/>
  <c r="Q28" i="80"/>
  <c r="P28" i="80"/>
  <c r="O28" i="80"/>
  <c r="N28" i="80"/>
  <c r="M28" i="80"/>
  <c r="L28" i="80"/>
  <c r="K28" i="80"/>
  <c r="S27" i="80"/>
  <c r="R27" i="80"/>
  <c r="Q27" i="80"/>
  <c r="P27" i="80"/>
  <c r="O27" i="80"/>
  <c r="N27" i="80"/>
  <c r="M27" i="80"/>
  <c r="L27" i="80"/>
  <c r="K27" i="80"/>
  <c r="S26" i="80"/>
  <c r="R26" i="80"/>
  <c r="Q26" i="80"/>
  <c r="P26" i="80"/>
  <c r="O26" i="80"/>
  <c r="N26" i="80"/>
  <c r="M26" i="80"/>
  <c r="L26" i="80"/>
  <c r="K26" i="80"/>
  <c r="S24" i="80"/>
  <c r="R24" i="80"/>
  <c r="Q24" i="80"/>
  <c r="P24" i="80"/>
  <c r="O24" i="80"/>
  <c r="N24" i="80"/>
  <c r="M24" i="80"/>
  <c r="L24" i="80"/>
  <c r="K24" i="80"/>
  <c r="T12" i="80"/>
  <c r="S12" i="80"/>
  <c r="R12" i="80"/>
  <c r="Q12" i="80"/>
  <c r="P12" i="80"/>
  <c r="O12" i="80"/>
  <c r="N12" i="80"/>
  <c r="M12" i="80"/>
  <c r="L12" i="80"/>
  <c r="K12" i="80"/>
  <c r="U12" i="80" s="1"/>
  <c r="T8" i="80"/>
  <c r="S9" i="80"/>
  <c r="R9" i="80"/>
  <c r="Q9" i="80"/>
  <c r="P9" i="80"/>
  <c r="O9" i="80"/>
  <c r="N9" i="80"/>
  <c r="M9" i="80"/>
  <c r="L9" i="80"/>
  <c r="S8" i="80"/>
  <c r="R8" i="80"/>
  <c r="R17" i="80" s="1"/>
  <c r="Q8" i="80"/>
  <c r="P8" i="80"/>
  <c r="O8" i="80"/>
  <c r="N8" i="80"/>
  <c r="N17" i="80" s="1"/>
  <c r="M8" i="80"/>
  <c r="L8" i="80"/>
  <c r="K9" i="80"/>
  <c r="K8" i="80"/>
  <c r="I47" i="80"/>
  <c r="G47" i="80"/>
  <c r="F47" i="80"/>
  <c r="E47" i="80"/>
  <c r="D47" i="80"/>
  <c r="C47" i="80"/>
  <c r="H45" i="80"/>
  <c r="H44" i="80"/>
  <c r="U43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U30" i="80"/>
  <c r="H30" i="80"/>
  <c r="S29" i="80"/>
  <c r="R29" i="80"/>
  <c r="Q29" i="80"/>
  <c r="P29" i="80"/>
  <c r="O29" i="80"/>
  <c r="H29" i="80"/>
  <c r="H28" i="80"/>
  <c r="H27" i="80"/>
  <c r="H26" i="80"/>
  <c r="S25" i="80"/>
  <c r="R25" i="80"/>
  <c r="Q25" i="80"/>
  <c r="P25" i="80"/>
  <c r="O25" i="80"/>
  <c r="H25" i="80"/>
  <c r="J47" i="80"/>
  <c r="H24" i="80"/>
  <c r="S23" i="80"/>
  <c r="R23" i="80"/>
  <c r="Q23" i="80"/>
  <c r="P23" i="80"/>
  <c r="O23" i="80"/>
  <c r="H23" i="80"/>
  <c r="S22" i="80"/>
  <c r="R22" i="80"/>
  <c r="Q22" i="80"/>
  <c r="P22" i="80"/>
  <c r="O22" i="80"/>
  <c r="H22" i="80"/>
  <c r="J17" i="80"/>
  <c r="I17" i="80"/>
  <c r="F17" i="80"/>
  <c r="D17" i="80"/>
  <c r="C17" i="80"/>
  <c r="U16" i="80"/>
  <c r="H16" i="80"/>
  <c r="U15" i="80"/>
  <c r="H15" i="80"/>
  <c r="U14" i="80"/>
  <c r="H14" i="80"/>
  <c r="U13" i="80"/>
  <c r="H13" i="80"/>
  <c r="H12" i="80"/>
  <c r="U11" i="80"/>
  <c r="H11" i="80"/>
  <c r="U10" i="80"/>
  <c r="H10" i="80"/>
  <c r="H9" i="80"/>
  <c r="L17" i="80"/>
  <c r="H8" i="80"/>
  <c r="H17" i="80" s="1"/>
  <c r="T45" i="79"/>
  <c r="S45" i="79"/>
  <c r="R45" i="79"/>
  <c r="Q45" i="79"/>
  <c r="P45" i="79"/>
  <c r="O45" i="79"/>
  <c r="N45" i="79"/>
  <c r="M45" i="79"/>
  <c r="L45" i="79"/>
  <c r="K45" i="79"/>
  <c r="J45" i="79"/>
  <c r="T44" i="79"/>
  <c r="S44" i="79"/>
  <c r="R44" i="79"/>
  <c r="Q44" i="79"/>
  <c r="P44" i="79"/>
  <c r="O44" i="79"/>
  <c r="N44" i="79"/>
  <c r="M44" i="79"/>
  <c r="L44" i="79"/>
  <c r="K44" i="79"/>
  <c r="J44" i="79"/>
  <c r="T43" i="79"/>
  <c r="S43" i="79"/>
  <c r="R43" i="79"/>
  <c r="Q43" i="79"/>
  <c r="P43" i="79"/>
  <c r="O43" i="79"/>
  <c r="N43" i="79"/>
  <c r="M43" i="79"/>
  <c r="L43" i="79"/>
  <c r="K43" i="79"/>
  <c r="J43" i="79"/>
  <c r="T41" i="79"/>
  <c r="S41" i="79"/>
  <c r="R41" i="79"/>
  <c r="Q41" i="79"/>
  <c r="P41" i="79"/>
  <c r="O41" i="79"/>
  <c r="N41" i="79"/>
  <c r="M41" i="79"/>
  <c r="L41" i="79"/>
  <c r="K41" i="79"/>
  <c r="J41" i="79"/>
  <c r="S39" i="79"/>
  <c r="R39" i="79"/>
  <c r="Q39" i="79"/>
  <c r="P39" i="79"/>
  <c r="O39" i="79"/>
  <c r="N39" i="79"/>
  <c r="M39" i="79"/>
  <c r="L39" i="79"/>
  <c r="K39" i="79"/>
  <c r="J39" i="79"/>
  <c r="S36" i="79"/>
  <c r="R36" i="79"/>
  <c r="Q36" i="79"/>
  <c r="P36" i="79"/>
  <c r="O36" i="79"/>
  <c r="N36" i="79"/>
  <c r="M36" i="79"/>
  <c r="L36" i="79"/>
  <c r="K36" i="79"/>
  <c r="J36" i="79"/>
  <c r="U36" i="79" s="1"/>
  <c r="T33" i="79"/>
  <c r="S33" i="79"/>
  <c r="R33" i="79"/>
  <c r="Q33" i="79"/>
  <c r="P33" i="79"/>
  <c r="O33" i="79"/>
  <c r="N33" i="79"/>
  <c r="M33" i="79"/>
  <c r="L33" i="79"/>
  <c r="K33" i="79"/>
  <c r="T32" i="79"/>
  <c r="S32" i="79"/>
  <c r="R32" i="79"/>
  <c r="Q32" i="79"/>
  <c r="P32" i="79"/>
  <c r="O32" i="79"/>
  <c r="N32" i="79"/>
  <c r="M32" i="79"/>
  <c r="L32" i="79"/>
  <c r="K32" i="79"/>
  <c r="J33" i="79"/>
  <c r="J32" i="79"/>
  <c r="S31" i="79"/>
  <c r="R31" i="79"/>
  <c r="Q31" i="79"/>
  <c r="P31" i="79"/>
  <c r="O31" i="79"/>
  <c r="N31" i="79"/>
  <c r="M31" i="79"/>
  <c r="L31" i="79"/>
  <c r="K31" i="79"/>
  <c r="J31" i="79"/>
  <c r="S30" i="79"/>
  <c r="R30" i="79"/>
  <c r="Q30" i="79"/>
  <c r="P30" i="79"/>
  <c r="O30" i="79"/>
  <c r="N30" i="79"/>
  <c r="M30" i="79"/>
  <c r="L30" i="79"/>
  <c r="K30" i="79"/>
  <c r="J30" i="79"/>
  <c r="T12" i="79"/>
  <c r="S12" i="79"/>
  <c r="R12" i="79"/>
  <c r="Q12" i="79"/>
  <c r="P12" i="79"/>
  <c r="O12" i="79"/>
  <c r="N12" i="79"/>
  <c r="M12" i="79"/>
  <c r="L12" i="79"/>
  <c r="K12" i="79"/>
  <c r="J12" i="79"/>
  <c r="S9" i="79"/>
  <c r="R9" i="79"/>
  <c r="Q9" i="79"/>
  <c r="P9" i="79"/>
  <c r="O9" i="79"/>
  <c r="N9" i="79"/>
  <c r="M9" i="79"/>
  <c r="L9" i="79"/>
  <c r="K9" i="79"/>
  <c r="T8" i="79"/>
  <c r="T17" i="79" s="1"/>
  <c r="S8" i="79"/>
  <c r="R8" i="79"/>
  <c r="Q8" i="79"/>
  <c r="P8" i="79"/>
  <c r="O8" i="79"/>
  <c r="N8" i="79"/>
  <c r="M8" i="79"/>
  <c r="L8" i="79"/>
  <c r="K8" i="79"/>
  <c r="J9" i="79"/>
  <c r="J8" i="79"/>
  <c r="J17" i="79" s="1"/>
  <c r="G47" i="79"/>
  <c r="F47" i="79"/>
  <c r="E47" i="79"/>
  <c r="D47" i="79"/>
  <c r="C47" i="79"/>
  <c r="I47" i="79"/>
  <c r="H45" i="79"/>
  <c r="H44" i="79"/>
  <c r="U43" i="79"/>
  <c r="H43" i="79"/>
  <c r="T42" i="79"/>
  <c r="S42" i="79"/>
  <c r="R42" i="79"/>
  <c r="Q42" i="79"/>
  <c r="P42" i="79"/>
  <c r="O42" i="79"/>
  <c r="N42" i="79"/>
  <c r="M42" i="79"/>
  <c r="L42" i="79"/>
  <c r="K42" i="79"/>
  <c r="J42" i="79"/>
  <c r="U42" i="79" s="1"/>
  <c r="H42" i="79"/>
  <c r="H41" i="79"/>
  <c r="S40" i="79"/>
  <c r="R40" i="79"/>
  <c r="Q40" i="79"/>
  <c r="P40" i="79"/>
  <c r="O40" i="79"/>
  <c r="N40" i="79"/>
  <c r="M40" i="79"/>
  <c r="L40" i="79"/>
  <c r="K40" i="79"/>
  <c r="J40" i="79"/>
  <c r="U40" i="79" s="1"/>
  <c r="H40" i="79"/>
  <c r="H39" i="79"/>
  <c r="S38" i="79"/>
  <c r="R38" i="79"/>
  <c r="Q38" i="79"/>
  <c r="P38" i="79"/>
  <c r="O38" i="79"/>
  <c r="N38" i="79"/>
  <c r="M38" i="79"/>
  <c r="L38" i="79"/>
  <c r="K38" i="79"/>
  <c r="J38" i="79"/>
  <c r="H38" i="79"/>
  <c r="S37" i="79"/>
  <c r="R37" i="79"/>
  <c r="Q37" i="79"/>
  <c r="P37" i="79"/>
  <c r="O37" i="79"/>
  <c r="N37" i="79"/>
  <c r="M37" i="79"/>
  <c r="L37" i="79"/>
  <c r="K37" i="79"/>
  <c r="J37" i="79"/>
  <c r="H37" i="79"/>
  <c r="H36" i="79"/>
  <c r="S35" i="79"/>
  <c r="R35" i="79"/>
  <c r="Q35" i="79"/>
  <c r="P35" i="79"/>
  <c r="O35" i="79"/>
  <c r="N35" i="79"/>
  <c r="M35" i="79"/>
  <c r="L35" i="79"/>
  <c r="K35" i="79"/>
  <c r="J35" i="79"/>
  <c r="H35" i="79"/>
  <c r="S34" i="79"/>
  <c r="R34" i="79"/>
  <c r="Q34" i="79"/>
  <c r="P34" i="79"/>
  <c r="O34" i="79"/>
  <c r="N34" i="79"/>
  <c r="M34" i="79"/>
  <c r="L34" i="79"/>
  <c r="K34" i="79"/>
  <c r="J34" i="79"/>
  <c r="H34" i="79"/>
  <c r="H33" i="79"/>
  <c r="H32" i="79"/>
  <c r="U31" i="79"/>
  <c r="H31" i="79"/>
  <c r="H30" i="79"/>
  <c r="S29" i="79"/>
  <c r="R29" i="79"/>
  <c r="Q29" i="79"/>
  <c r="P29" i="79"/>
  <c r="O29" i="79"/>
  <c r="U29" i="79" s="1"/>
  <c r="H29" i="79"/>
  <c r="S28" i="79"/>
  <c r="R28" i="79"/>
  <c r="Q28" i="79"/>
  <c r="P28" i="79"/>
  <c r="O28" i="79"/>
  <c r="N28" i="79"/>
  <c r="M28" i="79"/>
  <c r="L28" i="79"/>
  <c r="K28" i="79"/>
  <c r="J28" i="79"/>
  <c r="H28" i="79"/>
  <c r="S27" i="79"/>
  <c r="R27" i="79"/>
  <c r="Q27" i="79"/>
  <c r="P27" i="79"/>
  <c r="O27" i="79"/>
  <c r="N27" i="79"/>
  <c r="M27" i="79"/>
  <c r="L27" i="79"/>
  <c r="K27" i="79"/>
  <c r="J27" i="79"/>
  <c r="H27" i="79"/>
  <c r="S26" i="79"/>
  <c r="R26" i="79"/>
  <c r="Q26" i="79"/>
  <c r="P26" i="79"/>
  <c r="O26" i="79"/>
  <c r="N26" i="79"/>
  <c r="M26" i="79"/>
  <c r="L26" i="79"/>
  <c r="K26" i="79"/>
  <c r="J26" i="79"/>
  <c r="H26" i="79"/>
  <c r="S25" i="79"/>
  <c r="R25" i="79"/>
  <c r="Q25" i="79"/>
  <c r="P25" i="79"/>
  <c r="O25" i="79"/>
  <c r="H25" i="79"/>
  <c r="S24" i="79"/>
  <c r="R24" i="79"/>
  <c r="Q24" i="79"/>
  <c r="P24" i="79"/>
  <c r="O24" i="79"/>
  <c r="N24" i="79"/>
  <c r="M24" i="79"/>
  <c r="L24" i="79"/>
  <c r="K24" i="79"/>
  <c r="J24" i="79"/>
  <c r="H24" i="79"/>
  <c r="S23" i="79"/>
  <c r="R23" i="79"/>
  <c r="Q23" i="79"/>
  <c r="P23" i="79"/>
  <c r="O23" i="79"/>
  <c r="H23" i="79"/>
  <c r="S22" i="79"/>
  <c r="R22" i="79"/>
  <c r="Q22" i="79"/>
  <c r="P22" i="79"/>
  <c r="O22" i="79"/>
  <c r="H22" i="79"/>
  <c r="F17" i="79"/>
  <c r="D17" i="79"/>
  <c r="C17" i="79"/>
  <c r="U16" i="79"/>
  <c r="H16" i="79"/>
  <c r="U15" i="79"/>
  <c r="H15" i="79"/>
  <c r="U14" i="79"/>
  <c r="H14" i="79"/>
  <c r="U13" i="79"/>
  <c r="H13" i="79"/>
  <c r="H12" i="79"/>
  <c r="U11" i="79"/>
  <c r="H11" i="79"/>
  <c r="U10" i="79"/>
  <c r="H10" i="79"/>
  <c r="H9" i="79"/>
  <c r="N17" i="79"/>
  <c r="I17" i="79"/>
  <c r="H8" i="79"/>
  <c r="J41" i="1"/>
  <c r="I41" i="1"/>
  <c r="T32" i="1"/>
  <c r="S32" i="1"/>
  <c r="R32" i="1"/>
  <c r="Q32" i="1"/>
  <c r="P32" i="1"/>
  <c r="O32" i="1"/>
  <c r="N32" i="1"/>
  <c r="M32" i="1"/>
  <c r="L32" i="1"/>
  <c r="K32" i="1"/>
  <c r="J32" i="1"/>
  <c r="T45" i="1"/>
  <c r="S45" i="1"/>
  <c r="R45" i="1"/>
  <c r="Q45" i="1"/>
  <c r="P45" i="1"/>
  <c r="O45" i="1"/>
  <c r="N45" i="1"/>
  <c r="M45" i="1"/>
  <c r="L45" i="1"/>
  <c r="K45" i="1"/>
  <c r="J45" i="1"/>
  <c r="I45" i="1"/>
  <c r="T42" i="1"/>
  <c r="S42" i="1"/>
  <c r="R42" i="1"/>
  <c r="Q42" i="1"/>
  <c r="P42" i="1"/>
  <c r="O42" i="1"/>
  <c r="N42" i="1"/>
  <c r="M42" i="1"/>
  <c r="L42" i="1"/>
  <c r="K42" i="1"/>
  <c r="J42" i="1"/>
  <c r="T41" i="1"/>
  <c r="S41" i="1"/>
  <c r="R41" i="1"/>
  <c r="Q41" i="1"/>
  <c r="P41" i="1"/>
  <c r="O41" i="1"/>
  <c r="N41" i="1"/>
  <c r="M41" i="1"/>
  <c r="L41" i="1"/>
  <c r="K41" i="1"/>
  <c r="S40" i="1"/>
  <c r="R40" i="1"/>
  <c r="Q40" i="1"/>
  <c r="P40" i="1"/>
  <c r="O40" i="1"/>
  <c r="N40" i="1"/>
  <c r="M40" i="1"/>
  <c r="L40" i="1"/>
  <c r="K40" i="1"/>
  <c r="J40" i="1"/>
  <c r="S38" i="1"/>
  <c r="R38" i="1"/>
  <c r="Q38" i="1"/>
  <c r="P38" i="1"/>
  <c r="O38" i="1"/>
  <c r="N38" i="1"/>
  <c r="M38" i="1"/>
  <c r="L38" i="1"/>
  <c r="K38" i="1"/>
  <c r="J38" i="1"/>
  <c r="S37" i="1"/>
  <c r="R37" i="1"/>
  <c r="Q37" i="1"/>
  <c r="P37" i="1"/>
  <c r="O37" i="1"/>
  <c r="N37" i="1"/>
  <c r="M37" i="1"/>
  <c r="L37" i="1"/>
  <c r="K37" i="1"/>
  <c r="J37" i="1"/>
  <c r="S35" i="1"/>
  <c r="R35" i="1"/>
  <c r="Q35" i="1"/>
  <c r="P35" i="1"/>
  <c r="O35" i="1"/>
  <c r="N35" i="1"/>
  <c r="M35" i="1"/>
  <c r="L35" i="1"/>
  <c r="K35" i="1"/>
  <c r="J35" i="1"/>
  <c r="S34" i="1"/>
  <c r="R34" i="1"/>
  <c r="Q34" i="1"/>
  <c r="P34" i="1"/>
  <c r="O34" i="1"/>
  <c r="N34" i="1"/>
  <c r="M34" i="1"/>
  <c r="L34" i="1"/>
  <c r="K34" i="1"/>
  <c r="J34" i="1"/>
  <c r="S31" i="1"/>
  <c r="R31" i="1"/>
  <c r="Q31" i="1"/>
  <c r="P31" i="1"/>
  <c r="O31" i="1"/>
  <c r="N31" i="1"/>
  <c r="M31" i="1"/>
  <c r="L31" i="1"/>
  <c r="K31" i="1"/>
  <c r="J31" i="1"/>
  <c r="S29" i="1"/>
  <c r="R29" i="1"/>
  <c r="Q29" i="1"/>
  <c r="P29" i="1"/>
  <c r="O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S22" i="1"/>
  <c r="R22" i="1"/>
  <c r="Q22" i="1"/>
  <c r="P22" i="1"/>
  <c r="O22" i="1"/>
  <c r="T12" i="1"/>
  <c r="S12" i="1"/>
  <c r="R12" i="1"/>
  <c r="Q12" i="1"/>
  <c r="P12" i="1"/>
  <c r="O12" i="1"/>
  <c r="N12" i="1"/>
  <c r="M12" i="1"/>
  <c r="L12" i="1"/>
  <c r="K12" i="1"/>
  <c r="J12" i="1"/>
  <c r="I12" i="1"/>
  <c r="S9" i="1"/>
  <c r="R9" i="1"/>
  <c r="Q9" i="1"/>
  <c r="P9" i="1"/>
  <c r="O9" i="1"/>
  <c r="N9" i="1"/>
  <c r="M9" i="1"/>
  <c r="L9" i="1"/>
  <c r="K9" i="1"/>
  <c r="J9" i="1"/>
  <c r="T8" i="1"/>
  <c r="S8" i="1"/>
  <c r="R8" i="1"/>
  <c r="Q8" i="1"/>
  <c r="P8" i="1"/>
  <c r="O8" i="1"/>
  <c r="N8" i="1"/>
  <c r="M8" i="1"/>
  <c r="L8" i="1"/>
  <c r="K8" i="1"/>
  <c r="J8" i="1"/>
  <c r="I8" i="1"/>
  <c r="H45" i="1"/>
  <c r="U44" i="1"/>
  <c r="H44" i="1"/>
  <c r="U43" i="1"/>
  <c r="H43" i="1"/>
  <c r="V43" i="1" s="1"/>
  <c r="H42" i="1"/>
  <c r="H41" i="1"/>
  <c r="H40" i="1"/>
  <c r="U39" i="1"/>
  <c r="H39" i="1"/>
  <c r="H38" i="1"/>
  <c r="H37" i="1"/>
  <c r="U36" i="1"/>
  <c r="H36" i="1"/>
  <c r="H35" i="1"/>
  <c r="H34" i="1"/>
  <c r="U33" i="1"/>
  <c r="H33" i="1"/>
  <c r="H32" i="1"/>
  <c r="H31" i="1"/>
  <c r="U30" i="1"/>
  <c r="H30" i="1"/>
  <c r="V30" i="1" s="1"/>
  <c r="H29" i="1"/>
  <c r="H28" i="1"/>
  <c r="H27" i="1"/>
  <c r="H26" i="1"/>
  <c r="H25" i="1"/>
  <c r="H24" i="1"/>
  <c r="U24" i="1" l="1"/>
  <c r="V44" i="1"/>
  <c r="U28" i="1"/>
  <c r="U45" i="1"/>
  <c r="V33" i="1"/>
  <c r="U25" i="1"/>
  <c r="V25" i="1" s="1"/>
  <c r="V16" i="79"/>
  <c r="U26" i="79"/>
  <c r="V42" i="79"/>
  <c r="U9" i="79"/>
  <c r="R17" i="79"/>
  <c r="U30" i="79"/>
  <c r="U33" i="79"/>
  <c r="V36" i="79"/>
  <c r="U39" i="79"/>
  <c r="V14" i="80"/>
  <c r="U22" i="80"/>
  <c r="V43" i="80"/>
  <c r="O17" i="80"/>
  <c r="P17" i="80"/>
  <c r="S17" i="80"/>
  <c r="U26" i="80"/>
  <c r="U33" i="80"/>
  <c r="U39" i="80"/>
  <c r="L20" i="81"/>
  <c r="N20" i="81"/>
  <c r="V27" i="81"/>
  <c r="U37" i="81"/>
  <c r="U43" i="81"/>
  <c r="U48" i="81"/>
  <c r="V29" i="84"/>
  <c r="V56" i="84" s="1"/>
  <c r="V20" i="84"/>
  <c r="U20" i="83"/>
  <c r="V8" i="83"/>
  <c r="V20" i="83" s="1"/>
  <c r="V56" i="83"/>
  <c r="U20" i="82"/>
  <c r="U56" i="82"/>
  <c r="V56" i="82"/>
  <c r="V20" i="82"/>
  <c r="U37" i="1"/>
  <c r="V37" i="1" s="1"/>
  <c r="U32" i="1"/>
  <c r="U25" i="79"/>
  <c r="V25" i="79" s="1"/>
  <c r="U28" i="79"/>
  <c r="U35" i="79"/>
  <c r="M47" i="80"/>
  <c r="U26" i="81"/>
  <c r="V26" i="81" s="1"/>
  <c r="U28" i="81"/>
  <c r="V28" i="81" s="1"/>
  <c r="U47" i="81"/>
  <c r="U27" i="1"/>
  <c r="V27" i="1" s="1"/>
  <c r="U40" i="1"/>
  <c r="V40" i="1" s="1"/>
  <c r="U42" i="1"/>
  <c r="V42" i="1" s="1"/>
  <c r="V13" i="79"/>
  <c r="L17" i="79"/>
  <c r="P17" i="79"/>
  <c r="U32" i="79"/>
  <c r="V13" i="80"/>
  <c r="H47" i="80"/>
  <c r="U23" i="80"/>
  <c r="V23" i="80" s="1"/>
  <c r="U25" i="80"/>
  <c r="V25" i="80" s="1"/>
  <c r="K17" i="80"/>
  <c r="M17" i="80"/>
  <c r="Q17" i="80"/>
  <c r="U28" i="80"/>
  <c r="U31" i="80"/>
  <c r="U37" i="80"/>
  <c r="U32" i="81"/>
  <c r="V32" i="81" s="1"/>
  <c r="R20" i="81"/>
  <c r="U35" i="81"/>
  <c r="U44" i="81"/>
  <c r="U46" i="81"/>
  <c r="V46" i="81" s="1"/>
  <c r="V45" i="1"/>
  <c r="U26" i="1"/>
  <c r="V26" i="1" s="1"/>
  <c r="U34" i="1"/>
  <c r="V34" i="1" s="1"/>
  <c r="U24" i="79"/>
  <c r="V24" i="79" s="1"/>
  <c r="V26" i="79"/>
  <c r="U37" i="79"/>
  <c r="V37" i="79" s="1"/>
  <c r="U41" i="79"/>
  <c r="V41" i="79" s="1"/>
  <c r="V10" i="80"/>
  <c r="U32" i="80"/>
  <c r="V32" i="80" s="1"/>
  <c r="U36" i="80"/>
  <c r="H50" i="81"/>
  <c r="U38" i="81"/>
  <c r="U40" i="81"/>
  <c r="U42" i="81"/>
  <c r="V36" i="1"/>
  <c r="V39" i="1"/>
  <c r="U29" i="1"/>
  <c r="V29" i="1" s="1"/>
  <c r="U31" i="1"/>
  <c r="U35" i="1"/>
  <c r="V35" i="1" s="1"/>
  <c r="U38" i="1"/>
  <c r="V38" i="1" s="1"/>
  <c r="U41" i="1"/>
  <c r="V41" i="1" s="1"/>
  <c r="U23" i="79"/>
  <c r="U27" i="79"/>
  <c r="V29" i="79"/>
  <c r="U34" i="79"/>
  <c r="U38" i="79"/>
  <c r="V38" i="79" s="1"/>
  <c r="U44" i="79"/>
  <c r="V44" i="79" s="1"/>
  <c r="V11" i="80"/>
  <c r="V16" i="80"/>
  <c r="U29" i="80"/>
  <c r="V29" i="80" s="1"/>
  <c r="U34" i="80"/>
  <c r="U40" i="80"/>
  <c r="U41" i="80"/>
  <c r="V41" i="80" s="1"/>
  <c r="U25" i="81"/>
  <c r="U29" i="81"/>
  <c r="V29" i="81" s="1"/>
  <c r="U30" i="81"/>
  <c r="V30" i="81" s="1"/>
  <c r="U33" i="81"/>
  <c r="V33" i="81" s="1"/>
  <c r="V47" i="81"/>
  <c r="M50" i="81"/>
  <c r="V43" i="81"/>
  <c r="V41" i="81"/>
  <c r="U39" i="81"/>
  <c r="V37" i="81"/>
  <c r="Q50" i="81"/>
  <c r="P50" i="81"/>
  <c r="T50" i="81"/>
  <c r="O50" i="81"/>
  <c r="S50" i="81"/>
  <c r="U34" i="81"/>
  <c r="V34" i="81" s="1"/>
  <c r="U31" i="81"/>
  <c r="V31" i="81" s="1"/>
  <c r="N50" i="81"/>
  <c r="R50" i="81"/>
  <c r="L50" i="81"/>
  <c r="V39" i="81"/>
  <c r="U14" i="81"/>
  <c r="V14" i="81" s="1"/>
  <c r="U8" i="81"/>
  <c r="U9" i="81"/>
  <c r="V9" i="81" s="1"/>
  <c r="M20" i="81"/>
  <c r="Q20" i="81"/>
  <c r="V10" i="81"/>
  <c r="V11" i="81"/>
  <c r="V17" i="81"/>
  <c r="V13" i="81"/>
  <c r="V16" i="81"/>
  <c r="V19" i="81"/>
  <c r="V18" i="81"/>
  <c r="V35" i="81"/>
  <c r="V45" i="81"/>
  <c r="V12" i="81"/>
  <c r="V15" i="81"/>
  <c r="V38" i="81"/>
  <c r="V40" i="81"/>
  <c r="V42" i="81"/>
  <c r="V44" i="81"/>
  <c r="V48" i="81"/>
  <c r="V8" i="81"/>
  <c r="V25" i="81"/>
  <c r="K50" i="81"/>
  <c r="K20" i="81"/>
  <c r="U36" i="81"/>
  <c r="V36" i="81" s="1"/>
  <c r="H20" i="81"/>
  <c r="U45" i="80"/>
  <c r="V45" i="80" s="1"/>
  <c r="T47" i="80"/>
  <c r="U44" i="80"/>
  <c r="U42" i="80"/>
  <c r="V42" i="80"/>
  <c r="V40" i="80"/>
  <c r="V38" i="80"/>
  <c r="O47" i="80"/>
  <c r="S47" i="80"/>
  <c r="V34" i="80"/>
  <c r="Q47" i="80"/>
  <c r="V30" i="80"/>
  <c r="P47" i="80"/>
  <c r="U27" i="80"/>
  <c r="V27" i="80" s="1"/>
  <c r="N47" i="80"/>
  <c r="L47" i="80"/>
  <c r="R47" i="80"/>
  <c r="V15" i="80"/>
  <c r="T17" i="80"/>
  <c r="V36" i="80"/>
  <c r="V26" i="80"/>
  <c r="V35" i="80"/>
  <c r="V39" i="80"/>
  <c r="V44" i="80"/>
  <c r="V12" i="80"/>
  <c r="V22" i="80"/>
  <c r="V33" i="80"/>
  <c r="V28" i="80"/>
  <c r="V31" i="80"/>
  <c r="V37" i="80"/>
  <c r="U24" i="80"/>
  <c r="K47" i="80"/>
  <c r="U9" i="80"/>
  <c r="V9" i="80" s="1"/>
  <c r="U8" i="80"/>
  <c r="V8" i="80" s="1"/>
  <c r="T47" i="79"/>
  <c r="V39" i="79"/>
  <c r="V32" i="79"/>
  <c r="M47" i="79"/>
  <c r="Q47" i="79"/>
  <c r="P47" i="79"/>
  <c r="K47" i="79"/>
  <c r="L47" i="79"/>
  <c r="V31" i="79"/>
  <c r="R47" i="79"/>
  <c r="O47" i="79"/>
  <c r="S47" i="79"/>
  <c r="N47" i="79"/>
  <c r="V30" i="79"/>
  <c r="V33" i="79"/>
  <c r="V28" i="79"/>
  <c r="V43" i="79"/>
  <c r="H47" i="79"/>
  <c r="V14" i="79"/>
  <c r="U12" i="79"/>
  <c r="V12" i="79" s="1"/>
  <c r="M17" i="79"/>
  <c r="Q17" i="79"/>
  <c r="K17" i="79"/>
  <c r="O17" i="79"/>
  <c r="S17" i="79"/>
  <c r="V9" i="79"/>
  <c r="V10" i="79"/>
  <c r="V11" i="79"/>
  <c r="V15" i="79"/>
  <c r="V35" i="79"/>
  <c r="V27" i="79"/>
  <c r="V34" i="79"/>
  <c r="V40" i="79"/>
  <c r="V23" i="79"/>
  <c r="U45" i="79"/>
  <c r="V45" i="79" s="1"/>
  <c r="U8" i="79"/>
  <c r="U22" i="79"/>
  <c r="V22" i="79" s="1"/>
  <c r="H17" i="79"/>
  <c r="J47" i="79"/>
  <c r="V32" i="1"/>
  <c r="V31" i="1"/>
  <c r="V28" i="1"/>
  <c r="V24" i="1"/>
  <c r="U15" i="1"/>
  <c r="U14" i="1"/>
  <c r="U13" i="1"/>
  <c r="H15" i="1"/>
  <c r="H14" i="1"/>
  <c r="H13" i="1"/>
  <c r="U17" i="79" l="1"/>
  <c r="U20" i="81"/>
  <c r="V20" i="81"/>
  <c r="U50" i="81"/>
  <c r="V50" i="81"/>
  <c r="U47" i="80"/>
  <c r="V24" i="80"/>
  <c r="V47" i="80" s="1"/>
  <c r="V17" i="80"/>
  <c r="U17" i="80"/>
  <c r="V47" i="79"/>
  <c r="V8" i="79"/>
  <c r="V17" i="79" s="1"/>
  <c r="U47" i="79"/>
  <c r="V13" i="1"/>
  <c r="V15" i="1"/>
  <c r="V14" i="1"/>
  <c r="U16" i="1" l="1"/>
  <c r="H16" i="1"/>
  <c r="V16" i="1" l="1"/>
  <c r="F17" i="1" l="1"/>
  <c r="D17" i="1"/>
  <c r="H23" i="1"/>
  <c r="U23" i="1" l="1"/>
  <c r="V23" i="1" s="1"/>
  <c r="U22" i="1" l="1"/>
  <c r="H22" i="1"/>
  <c r="T47" i="1"/>
  <c r="S47" i="1"/>
  <c r="R47" i="1"/>
  <c r="Q47" i="1"/>
  <c r="P47" i="1"/>
  <c r="O47" i="1"/>
  <c r="N47" i="1"/>
  <c r="M47" i="1"/>
  <c r="L47" i="1"/>
  <c r="K47" i="1"/>
  <c r="J47" i="1"/>
  <c r="I47" i="1"/>
  <c r="G47" i="1"/>
  <c r="F47" i="1"/>
  <c r="E47" i="1"/>
  <c r="D47" i="1"/>
  <c r="C47" i="1"/>
  <c r="U12" i="1"/>
  <c r="U11" i="1"/>
  <c r="U10" i="1"/>
  <c r="U9" i="1"/>
  <c r="U8" i="1"/>
  <c r="H12" i="1"/>
  <c r="H11" i="1"/>
  <c r="H10" i="1"/>
  <c r="H9" i="1"/>
  <c r="H8" i="1"/>
  <c r="T17" i="1"/>
  <c r="S17" i="1"/>
  <c r="R17" i="1"/>
  <c r="Q17" i="1"/>
  <c r="P17" i="1"/>
  <c r="O17" i="1"/>
  <c r="N17" i="1"/>
  <c r="M17" i="1"/>
  <c r="L17" i="1"/>
  <c r="K17" i="1"/>
  <c r="J17" i="1"/>
  <c r="I17" i="1"/>
  <c r="C17" i="1"/>
  <c r="H47" i="1" l="1"/>
  <c r="U47" i="1"/>
  <c r="V22" i="1"/>
  <c r="V10" i="1"/>
  <c r="V9" i="1"/>
  <c r="H17" i="1"/>
  <c r="V11" i="1"/>
  <c r="V8" i="1"/>
  <c r="V12" i="1"/>
  <c r="U17" i="1"/>
  <c r="V47" i="1" l="1"/>
  <c r="V17" i="1"/>
</calcChain>
</file>

<file path=xl/sharedStrings.xml><?xml version="1.0" encoding="utf-8"?>
<sst xmlns="http://schemas.openxmlformats.org/spreadsheetml/2006/main" count="1714" uniqueCount="124">
  <si>
    <t>PLAN ANUAL MENSUALIZADO DE CAJA PAC</t>
  </si>
  <si>
    <t>INGRESOS</t>
  </si>
  <si>
    <t>CODIGO PRESUPUESTAL</t>
  </si>
  <si>
    <t>NOMBRE</t>
  </si>
  <si>
    <t>PRESUPUESTO INICIAL</t>
  </si>
  <si>
    <t>MODIFICACIONES</t>
  </si>
  <si>
    <t>ADICIONES</t>
  </si>
  <si>
    <t>REDUCCIONES</t>
  </si>
  <si>
    <t>PRESUPUESTO DEFINITIVO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</si>
  <si>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</si>
  <si>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</si>
  <si>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</si>
  <si>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</si>
  <si>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</si>
  <si>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</si>
  <si>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</si>
  <si>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</si>
  <si>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</si>
  <si>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</si>
  <si>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</si>
  <si>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</si>
  <si>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</si>
  <si>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SALDO POR EJECUTAR</t>
  </si>
  <si>
    <t>EGRESOS</t>
  </si>
  <si>
    <t>CREDITOS</t>
  </si>
  <si>
    <t>CONTRACREDITOS</t>
  </si>
  <si>
    <t>TOTALES</t>
  </si>
  <si>
    <t>INSTITUCION EDUCATIVA FE Y ALEGRIA</t>
  </si>
  <si>
    <t xml:space="preserve">12050202              </t>
  </si>
  <si>
    <t xml:space="preserve">Depositos ctas cnp                                                                                                                                                                                                                              </t>
  </si>
  <si>
    <t xml:space="preserve">12100201              </t>
  </si>
  <si>
    <t xml:space="preserve">Superavit propios                                                                                                                                                                                                                               </t>
  </si>
  <si>
    <t xml:space="preserve">12100202              </t>
  </si>
  <si>
    <t xml:space="preserve">Superavit conpes                                                                                                                                                                                                                                </t>
  </si>
  <si>
    <t xml:space="preserve">12100203              </t>
  </si>
  <si>
    <t xml:space="preserve">Superavit municipio                                                                                                                                                                                                                             </t>
  </si>
  <si>
    <t xml:space="preserve">2102010103050303      </t>
  </si>
  <si>
    <t xml:space="preserve">Televisores grabadoras y otros mpio                                                                                                                                                                                                             </t>
  </si>
  <si>
    <t xml:space="preserve">210202010302          </t>
  </si>
  <si>
    <t xml:space="preserve">Materiales y suministros cnp                                                                                                                                                                                                                    </t>
  </si>
  <si>
    <t xml:space="preserve">210202020502          </t>
  </si>
  <si>
    <t xml:space="preserve">Construccion cnp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</si>
  <si>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210202020503          </t>
  </si>
  <si>
    <t xml:space="preserve">Construccion mpio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</si>
  <si>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21020202070101        </t>
  </si>
  <si>
    <t xml:space="preserve">Gastos financieros  prp                                                                                                                                                                                                                         </t>
  </si>
  <si>
    <t xml:space="preserve">21020202070202        </t>
  </si>
  <si>
    <t xml:space="preserve">Seguros cnp   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</si>
  <si>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21020202080102        </t>
  </si>
  <si>
    <t xml:space="preserve">Honorarios cnp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</si>
  <si>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21020202080401        </t>
  </si>
  <si>
    <t xml:space="preserve">Impresos y publicaciones prp                                                                                                                                                                                                                    </t>
  </si>
  <si>
    <t xml:space="preserve">21020202080502        </t>
  </si>
  <si>
    <t xml:space="preserve">Telefono e internet cnp                                                                                                                                                                                                                         </t>
  </si>
  <si>
    <t xml:space="preserve">2102020208050402      </t>
  </si>
  <si>
    <t xml:space="preserve">Telefono e internet superavit cnp                                                                                                                                                                                                               </t>
  </si>
  <si>
    <t xml:space="preserve">210202030401          </t>
  </si>
  <si>
    <t xml:space="preserve">Varios superavit pr                                                                                                                                                                                                                             </t>
  </si>
  <si>
    <t xml:space="preserve">2102020207010401      </t>
  </si>
  <si>
    <t xml:space="preserve">Gastos financieros superavit prp                                                                                                                                                                                                                </t>
  </si>
  <si>
    <t xml:space="preserve">21020202050403        </t>
  </si>
  <si>
    <t xml:space="preserve">Construccion superavit mpio                                                                                                                                                                                                                     </t>
  </si>
  <si>
    <t xml:space="preserve">2102010103030203      </t>
  </si>
  <si>
    <t xml:space="preserve">Computadores y otros mpio                                                                                                                                                                                                                       </t>
  </si>
  <si>
    <t xml:space="preserve">2102020208050401      </t>
  </si>
  <si>
    <t xml:space="preserve">Telefono e internet superavit prp                                                                                                                                                                                                               </t>
  </si>
  <si>
    <t xml:space="preserve">21020202080302        </t>
  </si>
  <si>
    <t xml:space="preserve">210202010303          </t>
  </si>
  <si>
    <t xml:space="preserve">Materiales y suministros mpio                                                                                                                                                                                                                   </t>
  </si>
  <si>
    <t>VIGENCIA 2025</t>
  </si>
  <si>
    <t xml:space="preserve">110205020901          </t>
  </si>
  <si>
    <t xml:space="preserve">Constancias y certificados                                                                                                                                                                                                                      </t>
  </si>
  <si>
    <t xml:space="preserve">110205020902          </t>
  </si>
  <si>
    <t xml:space="preserve">Concesion de espacios                                                                                                                                                                                                                           </t>
  </si>
  <si>
    <t xml:space="preserve">1102060101030201      </t>
  </si>
  <si>
    <t xml:space="preserve">Gratuidad sgp                                                                                                                                                                                                                                   </t>
  </si>
  <si>
    <t xml:space="preserve">110206060601          </t>
  </si>
  <si>
    <t xml:space="preserve">Gratuidad territorial                                                                                                                                                                                                                           </t>
  </si>
  <si>
    <t xml:space="preserve">21020201030402        </t>
  </si>
  <si>
    <t xml:space="preserve">Materiales y suministros superavit cnp                                                                                                                                                                                                          </t>
  </si>
  <si>
    <t xml:space="preserve">210202010305          </t>
  </si>
  <si>
    <t xml:space="preserve">Materiales y suministros rnd                                                                                                                                                                                                                    </t>
  </si>
  <si>
    <t xml:space="preserve">21020202050401        </t>
  </si>
  <si>
    <t xml:space="preserve">Construccion superavit prp                                                                                                                                                                                                                      </t>
  </si>
  <si>
    <t xml:space="preserve">2102020208010402      </t>
  </si>
  <si>
    <t xml:space="preserve">Honorarios superavit cnp                                                                                                                                                                                                                        </t>
  </si>
  <si>
    <t xml:space="preserve">21020202080202        </t>
  </si>
  <si>
    <t xml:space="preserve">Servicios tecnicos cnp                                                                                                                                                                                                                          </t>
  </si>
  <si>
    <t xml:space="preserve">Mantenimiento de ppye cnp                                                                                                                                                                                                                       </t>
  </si>
  <si>
    <t xml:space="preserve">2102020208030403      </t>
  </si>
  <si>
    <t xml:space="preserve">Mantenimiento de ppye superavit mpio                                                                                                                                                                                                            </t>
  </si>
  <si>
    <t xml:space="preserve">21020202080501        </t>
  </si>
  <si>
    <t xml:space="preserve">Telefono e internet prp                                                                                                                                                                                                                         </t>
  </si>
  <si>
    <t xml:space="preserve">1208010301            </t>
  </si>
  <si>
    <t xml:space="preserve">No condicionadas a la adquisición de un activo                                                                                                                                                                                                  </t>
  </si>
  <si>
    <t xml:space="preserve">1102060101030202      </t>
  </si>
  <si>
    <t xml:space="preserve">1102060101030203      </t>
  </si>
  <si>
    <t xml:space="preserve">Formacion integral sgp                                                                                                                                                                                                                          </t>
  </si>
  <si>
    <t xml:space="preserve">Primera infancia sgp                                                                                                                                                                                                                            </t>
  </si>
  <si>
    <t xml:space="preserve">210201010401010408    </t>
  </si>
  <si>
    <t xml:space="preserve">Otros muebles N.C.P.pri inf                                                                                                                                                                                                                     </t>
  </si>
  <si>
    <t xml:space="preserve">210202010307          </t>
  </si>
  <si>
    <t xml:space="preserve">210202010308          </t>
  </si>
  <si>
    <t xml:space="preserve">Materiales y suministro for int                                                                                                                                                                                                                 </t>
  </si>
  <si>
    <t xml:space="preserve">Materiales y suministros pri inf                                                                                                                                                                                                                </t>
  </si>
  <si>
    <t xml:space="preserve">210202020508          </t>
  </si>
  <si>
    <t xml:space="preserve">Construccion pri inf                                                                                                                                                                                                                            </t>
  </si>
  <si>
    <t xml:space="preserve">210202020907          </t>
  </si>
  <si>
    <t xml:space="preserve">Actividades pedagogicas for int                                                                                                                                                                                                                 </t>
  </si>
  <si>
    <t xml:space="preserve">210202010309          </t>
  </si>
  <si>
    <t xml:space="preserve">materiales y suministros crese                                                                                                                                                                                                                  </t>
  </si>
  <si>
    <t xml:space="preserve">21020202080403        </t>
  </si>
  <si>
    <t xml:space="preserve">Impresos y publicaciones mpio                                                                                                                                                                                                                   </t>
  </si>
  <si>
    <t xml:space="preserve">2102020208040403      </t>
  </si>
  <si>
    <t xml:space="preserve">Impresos y publicaciones superavit mpio                                                                                                                                                                                                         </t>
  </si>
  <si>
    <t xml:space="preserve">Computadores y otros formacion integral                                                                                                                                                                                                                      </t>
  </si>
  <si>
    <t>JOSÉ EDUARDO BAQUERO JARAMILLO</t>
  </si>
  <si>
    <t>Rector</t>
  </si>
  <si>
    <t xml:space="preserve">Proyecto: Willian Roberto  </t>
  </si>
  <si>
    <t>Baquero Cifuentes</t>
  </si>
  <si>
    <t>JOSÉ EDUARDO BAQUERO JARAMILLO     Rector</t>
  </si>
  <si>
    <t>Asesor Adm y Financiero</t>
  </si>
  <si>
    <t xml:space="preserve">Proyecto:   Willian Roberto  </t>
  </si>
  <si>
    <t>Proyectó: William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</si>
</sst>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gency FB"/>
      <family val="2"/>
    </font>
    <font>
      <sz val="10"/>
      <color theme="1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23" xfId="1" applyNumberFormat="1" applyFont="1" applyBorder="1" applyAlignment="1">
      <alignment vertical="top" wrapText="1"/>
    </xf>
    <xf numFmtId="164" fontId="2" fillId="0" borderId="13" xfId="1" applyNumberFormat="1" applyFont="1" applyBorder="1" applyAlignment="1">
      <alignment vertical="top" wrapText="1"/>
    </xf>
    <xf numFmtId="164" fontId="2" fillId="0" borderId="12" xfId="1" applyNumberFormat="1" applyFont="1" applyBorder="1" applyAlignment="1">
      <alignment vertical="top" wrapText="1"/>
    </xf>
    <xf numFmtId="164" fontId="2" fillId="0" borderId="14" xfId="1" applyNumberFormat="1" applyFont="1" applyBorder="1" applyAlignment="1">
      <alignment vertical="top" wrapText="1"/>
    </xf>
    <xf numFmtId="164" fontId="2" fillId="0" borderId="24" xfId="1" applyNumberFormat="1" applyFont="1" applyBorder="1" applyAlignment="1">
      <alignment vertical="top" wrapText="1"/>
    </xf>
    <xf numFmtId="164" fontId="2" fillId="0" borderId="15" xfId="1" applyNumberFormat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164" fontId="2" fillId="0" borderId="16" xfId="1" applyNumberFormat="1" applyFont="1" applyBorder="1" applyAlignment="1">
      <alignment vertical="top" wrapText="1"/>
    </xf>
    <xf numFmtId="164" fontId="2" fillId="0" borderId="25" xfId="1" applyNumberFormat="1" applyFont="1" applyBorder="1" applyAlignment="1">
      <alignment vertical="top" wrapText="1"/>
    </xf>
    <xf numFmtId="164" fontId="2" fillId="0" borderId="9" xfId="1" applyNumberFormat="1" applyFont="1" applyBorder="1" applyAlignment="1">
      <alignment vertical="top" wrapText="1"/>
    </xf>
    <xf numFmtId="164" fontId="2" fillId="0" borderId="10" xfId="1" applyNumberFormat="1" applyFont="1" applyBorder="1" applyAlignment="1">
      <alignment vertical="top" wrapText="1"/>
    </xf>
    <xf numFmtId="164" fontId="2" fillId="0" borderId="11" xfId="1" applyNumberFormat="1" applyFont="1" applyBorder="1" applyAlignment="1">
      <alignment vertical="top" wrapText="1"/>
    </xf>
    <xf numFmtId="164" fontId="2" fillId="0" borderId="2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vertical="top" wrapText="1"/>
    </xf>
    <xf numFmtId="164" fontId="2" fillId="0" borderId="26" xfId="1" applyNumberFormat="1" applyFont="1" applyBorder="1" applyAlignment="1">
      <alignment vertical="top" wrapText="1"/>
    </xf>
    <xf numFmtId="164" fontId="2" fillId="0" borderId="18" xfId="1" applyNumberFormat="1" applyFont="1" applyBorder="1" applyAlignment="1">
      <alignment vertical="top" wrapText="1"/>
    </xf>
    <xf numFmtId="164" fontId="2" fillId="0" borderId="27" xfId="1" applyNumberFormat="1" applyFont="1" applyBorder="1" applyAlignment="1">
      <alignment vertical="top" wrapText="1"/>
    </xf>
    <xf numFmtId="164" fontId="2" fillId="0" borderId="3" xfId="1" applyNumberFormat="1" applyFont="1" applyBorder="1" applyAlignment="1">
      <alignment vertical="top" wrapText="1"/>
    </xf>
    <xf numFmtId="164" fontId="2" fillId="0" borderId="4" xfId="1" applyNumberFormat="1" applyFont="1" applyBorder="1" applyAlignment="1">
      <alignment vertical="top" wrapText="1"/>
    </xf>
    <xf numFmtId="164" fontId="2" fillId="0" borderId="5" xfId="1" applyNumberFormat="1" applyFont="1" applyBorder="1" applyAlignment="1">
      <alignment vertical="top" wrapText="1"/>
    </xf>
    <xf numFmtId="164" fontId="2" fillId="0" borderId="28" xfId="1" applyNumberFormat="1" applyFont="1" applyBorder="1" applyAlignment="1">
      <alignment vertical="top" wrapText="1"/>
    </xf>
    <xf numFmtId="164" fontId="2" fillId="0" borderId="6" xfId="1" applyNumberFormat="1" applyFont="1" applyBorder="1" applyAlignment="1">
      <alignment vertical="top" wrapText="1"/>
    </xf>
    <xf numFmtId="164" fontId="2" fillId="0" borderId="7" xfId="1" applyNumberFormat="1" applyFont="1" applyBorder="1" applyAlignment="1">
      <alignment vertical="top" wrapText="1"/>
    </xf>
    <xf numFmtId="164" fontId="2" fillId="0" borderId="8" xfId="1" applyNumberFormat="1" applyFont="1" applyBorder="1" applyAlignment="1">
      <alignment vertical="top" wrapText="1"/>
    </xf>
    <xf numFmtId="164" fontId="2" fillId="0" borderId="29" xfId="1" applyNumberFormat="1" applyFont="1" applyBorder="1" applyAlignment="1">
      <alignment vertical="top" wrapText="1"/>
    </xf>
    <xf numFmtId="164" fontId="2" fillId="0" borderId="30" xfId="1" applyNumberFormat="1" applyFont="1" applyBorder="1" applyAlignment="1">
      <alignment vertical="top" wrapText="1"/>
    </xf>
    <xf numFmtId="164" fontId="2" fillId="0" borderId="31" xfId="1" applyNumberFormat="1" applyFont="1" applyBorder="1" applyAlignment="1">
      <alignment vertical="top" wrapText="1"/>
    </xf>
    <xf numFmtId="164" fontId="2" fillId="0" borderId="32" xfId="1" applyNumberFormat="1" applyFont="1" applyBorder="1" applyAlignment="1">
      <alignment vertical="top" wrapText="1"/>
    </xf>
    <xf numFmtId="164" fontId="2" fillId="0" borderId="33" xfId="1" applyNumberFormat="1" applyFont="1" applyBorder="1" applyAlignment="1">
      <alignment vertical="top" wrapText="1"/>
    </xf>
    <xf numFmtId="164" fontId="2" fillId="0" borderId="21" xfId="1" applyNumberFormat="1" applyFont="1" applyBorder="1" applyAlignment="1">
      <alignment vertical="top" wrapText="1"/>
    </xf>
    <xf numFmtId="164" fontId="2" fillId="0" borderId="34" xfId="1" applyNumberFormat="1" applyFont="1" applyBorder="1" applyAlignment="1">
      <alignment vertical="top" wrapText="1"/>
    </xf>
    <xf numFmtId="164" fontId="2" fillId="0" borderId="35" xfId="1" applyNumberFormat="1" applyFont="1" applyBorder="1" applyAlignment="1">
      <alignment vertical="top" wrapText="1"/>
    </xf>
    <xf numFmtId="164" fontId="2" fillId="0" borderId="22" xfId="1" applyNumberFormat="1" applyFont="1" applyBorder="1" applyAlignment="1">
      <alignment vertical="top" wrapText="1"/>
    </xf>
    <xf numFmtId="164" fontId="2" fillId="2" borderId="3" xfId="1" applyNumberFormat="1" applyFont="1" applyFill="1" applyBorder="1" applyAlignment="1">
      <alignment vertical="top" wrapText="1"/>
    </xf>
    <xf numFmtId="164" fontId="2" fillId="2" borderId="15" xfId="1" applyNumberFormat="1" applyFont="1" applyFill="1" applyBorder="1" applyAlignment="1">
      <alignment vertical="top" wrapText="1"/>
    </xf>
    <xf numFmtId="164" fontId="2" fillId="2" borderId="9" xfId="1" applyNumberFormat="1" applyFont="1" applyFill="1" applyBorder="1" applyAlignment="1">
      <alignment vertical="top" wrapText="1"/>
    </xf>
    <xf numFmtId="164" fontId="2" fillId="2" borderId="4" xfId="1" applyNumberFormat="1" applyFont="1" applyFill="1" applyBorder="1" applyAlignment="1">
      <alignment vertical="top" wrapText="1"/>
    </xf>
    <xf numFmtId="164" fontId="2" fillId="2" borderId="1" xfId="1" applyNumberFormat="1" applyFont="1" applyFill="1" applyBorder="1" applyAlignment="1">
      <alignment vertical="top" wrapText="1"/>
    </xf>
    <xf numFmtId="164" fontId="2" fillId="2" borderId="10" xfId="1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4" fontId="2" fillId="2" borderId="12" xfId="1" applyNumberFormat="1" applyFont="1" applyFill="1" applyBorder="1" applyAlignment="1">
      <alignment vertical="top" wrapText="1"/>
    </xf>
    <xf numFmtId="164" fontId="2" fillId="0" borderId="37" xfId="1" applyNumberFormat="1" applyFont="1" applyBorder="1" applyAlignment="1">
      <alignment vertical="top" wrapText="1"/>
    </xf>
    <xf numFmtId="164" fontId="2" fillId="0" borderId="39" xfId="1" applyNumberFormat="1" applyFont="1" applyBorder="1" applyAlignment="1">
      <alignment vertical="top" wrapText="1"/>
    </xf>
    <xf numFmtId="164" fontId="2" fillId="2" borderId="13" xfId="1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164" fontId="2" fillId="0" borderId="42" xfId="1" applyNumberFormat="1" applyFont="1" applyBorder="1" applyAlignment="1">
      <alignment vertical="top" wrapText="1"/>
    </xf>
    <xf numFmtId="164" fontId="2" fillId="0" borderId="40" xfId="1" applyNumberFormat="1" applyFont="1" applyBorder="1" applyAlignment="1">
      <alignment vertical="top" wrapText="1"/>
    </xf>
    <xf numFmtId="164" fontId="2" fillId="0" borderId="20" xfId="1" applyNumberFormat="1" applyFont="1" applyBorder="1" applyAlignment="1">
      <alignment vertical="top" wrapText="1"/>
    </xf>
    <xf numFmtId="164" fontId="2" fillId="2" borderId="7" xfId="1" applyNumberFormat="1" applyFont="1" applyFill="1" applyBorder="1" applyAlignment="1">
      <alignment vertical="top" wrapText="1"/>
    </xf>
    <xf numFmtId="49" fontId="2" fillId="0" borderId="43" xfId="0" applyNumberFormat="1" applyFont="1" applyBorder="1" applyAlignment="1">
      <alignment vertical="top" wrapText="1"/>
    </xf>
    <xf numFmtId="49" fontId="2" fillId="0" borderId="37" xfId="0" applyNumberFormat="1" applyFont="1" applyBorder="1" applyAlignment="1">
      <alignment vertical="top" wrapText="1"/>
    </xf>
    <xf numFmtId="164" fontId="2" fillId="2" borderId="37" xfId="1" applyNumberFormat="1" applyFont="1" applyFill="1" applyBorder="1" applyAlignment="1">
      <alignment vertical="top" wrapText="1"/>
    </xf>
    <xf numFmtId="164" fontId="2" fillId="2" borderId="34" xfId="1" applyNumberFormat="1" applyFont="1" applyFill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164" fontId="2" fillId="0" borderId="17" xfId="1" applyNumberFormat="1" applyFont="1" applyBorder="1" applyAlignment="1">
      <alignment horizontal="right" vertical="top" wrapText="1"/>
    </xf>
    <xf numFmtId="164" fontId="2" fillId="0" borderId="26" xfId="1" applyNumberFormat="1" applyFont="1" applyBorder="1" applyAlignment="1">
      <alignment horizontal="right" vertical="top" wrapText="1"/>
    </xf>
    <xf numFmtId="164" fontId="2" fillId="0" borderId="13" xfId="1" applyNumberFormat="1" applyFont="1" applyBorder="1" applyAlignment="1">
      <alignment horizontal="right" vertical="top" wrapText="1"/>
    </xf>
    <xf numFmtId="164" fontId="2" fillId="0" borderId="12" xfId="1" applyNumberFormat="1" applyFont="1" applyBorder="1" applyAlignment="1">
      <alignment horizontal="right" vertical="top" wrapText="1"/>
    </xf>
    <xf numFmtId="164" fontId="2" fillId="0" borderId="15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6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64" fontId="2" fillId="0" borderId="9" xfId="1" applyNumberFormat="1" applyFont="1" applyBorder="1" applyAlignment="1">
      <alignment horizontal="right" vertical="top" wrapText="1"/>
    </xf>
    <xf numFmtId="164" fontId="2" fillId="0" borderId="10" xfId="1" applyNumberFormat="1" applyFont="1" applyBorder="1" applyAlignment="1">
      <alignment horizontal="right" vertical="top" wrapText="1"/>
    </xf>
    <xf numFmtId="164" fontId="2" fillId="0" borderId="14" xfId="1" applyNumberFormat="1" applyFont="1" applyBorder="1" applyAlignment="1">
      <alignment horizontal="right" vertical="top" wrapText="1"/>
    </xf>
    <xf numFmtId="164" fontId="2" fillId="0" borderId="11" xfId="1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0" borderId="28" xfId="1" applyNumberFormat="1" applyFont="1" applyBorder="1" applyAlignment="1">
      <alignment horizontal="right" vertical="top" wrapText="1"/>
    </xf>
    <xf numFmtId="164" fontId="2" fillId="0" borderId="36" xfId="1" applyNumberFormat="1" applyFont="1" applyBorder="1" applyAlignment="1">
      <alignment horizontal="righ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opLeftCell="A40" zoomScaleNormal="100" workbookViewId="0">
      <selection activeCell="B54" sqref="A51:B54"/>
    </sheetView>
  </sheetViews>
  <sheetFormatPr baseColWidth="10" defaultColWidth="11.42578125" defaultRowHeight="12.75" x14ac:dyDescent="0.25"/>
  <cols>
    <col min="1" max="1" width="18.7109375" style="1" customWidth="1"/>
    <col min="2" max="2" width="32.7109375" style="1" customWidth="1"/>
    <col min="3" max="3" width="15.5703125" style="1" customWidth="1"/>
    <col min="4" max="4" width="6.140625" style="1" customWidth="1"/>
    <col min="5" max="5" width="5.85546875" style="1" customWidth="1"/>
    <col min="6" max="6" width="6.140625" style="1" customWidth="1"/>
    <col min="7" max="7" width="5" style="1" customWidth="1"/>
    <col min="8" max="8" width="15.140625" style="1" customWidth="1"/>
    <col min="9" max="9" width="8.7109375" style="1" customWidth="1"/>
    <col min="10" max="10" width="10.7109375" style="1" customWidth="1"/>
    <col min="11" max="13" width="9.7109375" style="1" customWidth="1"/>
    <col min="14" max="14" width="9.85546875" style="1" customWidth="1"/>
    <col min="15" max="16" width="10.7109375" style="1" customWidth="1"/>
    <col min="17" max="17" width="13.28515625" style="1" customWidth="1"/>
    <col min="18" max="18" width="10.7109375" style="1" customWidth="1"/>
    <col min="19" max="19" width="13.140625" style="1" customWidth="1"/>
    <col min="20" max="20" width="11.5703125" style="1" customWidth="1"/>
    <col min="21" max="21" width="13.28515625" style="1" customWidth="1"/>
    <col min="22" max="22" width="11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28">
        <f>2500000/12</f>
        <v>208333.33333333334</v>
      </c>
      <c r="J8" s="29">
        <f t="shared" ref="J8:T8" si="0">2500000/12</f>
        <v>208333.33333333334</v>
      </c>
      <c r="K8" s="29">
        <f t="shared" si="0"/>
        <v>208333.33333333334</v>
      </c>
      <c r="L8" s="29">
        <f t="shared" si="0"/>
        <v>208333.33333333334</v>
      </c>
      <c r="M8" s="29">
        <f t="shared" si="0"/>
        <v>208333.33333333334</v>
      </c>
      <c r="N8" s="29">
        <f t="shared" si="0"/>
        <v>208333.33333333334</v>
      </c>
      <c r="O8" s="29">
        <f t="shared" si="0"/>
        <v>208333.33333333334</v>
      </c>
      <c r="P8" s="29">
        <f t="shared" si="0"/>
        <v>208333.33333333334</v>
      </c>
      <c r="Q8" s="29">
        <f t="shared" si="0"/>
        <v>208333.33333333334</v>
      </c>
      <c r="R8" s="29">
        <f t="shared" si="0"/>
        <v>208333.33333333334</v>
      </c>
      <c r="S8" s="29">
        <f t="shared" si="0"/>
        <v>208333.33333333334</v>
      </c>
      <c r="T8" s="30">
        <f t="shared" si="0"/>
        <v>208333.33333333334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6" si="1">C9+D9-F9</f>
        <v>5500000</v>
      </c>
      <c r="I9" s="16"/>
      <c r="J9" s="17">
        <f>5500000/10</f>
        <v>550000</v>
      </c>
      <c r="K9" s="17">
        <f t="shared" ref="K9:S9" si="2">5500000/10</f>
        <v>550000</v>
      </c>
      <c r="L9" s="17">
        <f t="shared" si="2"/>
        <v>550000</v>
      </c>
      <c r="M9" s="17">
        <f t="shared" si="2"/>
        <v>550000</v>
      </c>
      <c r="N9" s="17">
        <f t="shared" si="2"/>
        <v>550000</v>
      </c>
      <c r="O9" s="17">
        <f t="shared" si="2"/>
        <v>550000</v>
      </c>
      <c r="P9" s="17">
        <f t="shared" si="2"/>
        <v>550000</v>
      </c>
      <c r="Q9" s="17">
        <f t="shared" si="2"/>
        <v>550000</v>
      </c>
      <c r="R9" s="17">
        <f t="shared" si="2"/>
        <v>550000</v>
      </c>
      <c r="S9" s="17">
        <f t="shared" si="2"/>
        <v>550000</v>
      </c>
      <c r="T9" s="18"/>
      <c r="U9" s="15">
        <f t="shared" ref="U9:U12" si="3">SUM(I9:T9)</f>
        <v>5500000</v>
      </c>
      <c r="V9" s="15">
        <f t="shared" ref="V9:V12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/>
      <c r="E10" s="84"/>
      <c r="F10" s="84"/>
      <c r="G10" s="85"/>
      <c r="H10" s="31">
        <f t="shared" si="1"/>
        <v>89000000</v>
      </c>
      <c r="I10" s="16"/>
      <c r="J10" s="17">
        <v>89000000</v>
      </c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5">
        <f t="shared" si="3"/>
        <v>89000000</v>
      </c>
      <c r="V10" s="15">
        <f t="shared" si="4"/>
        <v>0</v>
      </c>
    </row>
    <row r="11" spans="1:22" ht="25.5" x14ac:dyDescent="0.25">
      <c r="A11" s="4" t="s">
        <v>76</v>
      </c>
      <c r="B11" s="5" t="s">
        <v>77</v>
      </c>
      <c r="C11" s="15">
        <v>32000000</v>
      </c>
      <c r="D11" s="83"/>
      <c r="E11" s="84"/>
      <c r="F11" s="84"/>
      <c r="G11" s="85"/>
      <c r="H11" s="31">
        <f t="shared" si="1"/>
        <v>32000000</v>
      </c>
      <c r="I11" s="16"/>
      <c r="J11" s="17"/>
      <c r="K11" s="17"/>
      <c r="L11" s="17"/>
      <c r="M11" s="17"/>
      <c r="N11" s="17"/>
      <c r="O11" s="17">
        <v>32000000</v>
      </c>
      <c r="P11" s="17"/>
      <c r="Q11" s="17"/>
      <c r="R11" s="17"/>
      <c r="S11" s="17"/>
      <c r="T11" s="18"/>
      <c r="U11" s="15">
        <f t="shared" si="3"/>
        <v>32000000</v>
      </c>
      <c r="V11" s="15">
        <f t="shared" si="4"/>
        <v>0</v>
      </c>
    </row>
    <row r="12" spans="1:22" x14ac:dyDescent="0.25">
      <c r="A12" s="4" t="s">
        <v>28</v>
      </c>
      <c r="B12" s="5" t="s">
        <v>29</v>
      </c>
      <c r="C12" s="15">
        <v>50000</v>
      </c>
      <c r="D12" s="83"/>
      <c r="E12" s="84"/>
      <c r="F12" s="84"/>
      <c r="G12" s="85"/>
      <c r="H12" s="31">
        <f t="shared" si="1"/>
        <v>50000</v>
      </c>
      <c r="I12" s="16">
        <f>50000/12</f>
        <v>4166.666666666667</v>
      </c>
      <c r="J12" s="17">
        <f t="shared" ref="J12:T12" si="5">50000/12</f>
        <v>4166.666666666667</v>
      </c>
      <c r="K12" s="17">
        <f t="shared" si="5"/>
        <v>4166.666666666667</v>
      </c>
      <c r="L12" s="17">
        <f t="shared" si="5"/>
        <v>4166.666666666667</v>
      </c>
      <c r="M12" s="17">
        <f t="shared" si="5"/>
        <v>4166.666666666667</v>
      </c>
      <c r="N12" s="17">
        <f t="shared" si="5"/>
        <v>4166.666666666667</v>
      </c>
      <c r="O12" s="17">
        <f t="shared" si="5"/>
        <v>4166.666666666667</v>
      </c>
      <c r="P12" s="17">
        <f t="shared" si="5"/>
        <v>4166.666666666667</v>
      </c>
      <c r="Q12" s="17">
        <f t="shared" si="5"/>
        <v>4166.666666666667</v>
      </c>
      <c r="R12" s="17">
        <f t="shared" si="5"/>
        <v>4166.666666666667</v>
      </c>
      <c r="S12" s="17">
        <f t="shared" si="5"/>
        <v>4166.666666666667</v>
      </c>
      <c r="T12" s="18">
        <f t="shared" si="5"/>
        <v>4166.666666666667</v>
      </c>
      <c r="U12" s="15">
        <f t="shared" si="3"/>
        <v>49999.999999999993</v>
      </c>
      <c r="V12" s="15">
        <f t="shared" si="4"/>
        <v>0</v>
      </c>
    </row>
    <row r="13" spans="1:22" x14ac:dyDescent="0.25">
      <c r="A13" s="6" t="s">
        <v>30</v>
      </c>
      <c r="B13" s="7" t="s">
        <v>31</v>
      </c>
      <c r="C13" s="19">
        <v>1000</v>
      </c>
      <c r="D13" s="83"/>
      <c r="E13" s="84"/>
      <c r="F13" s="84"/>
      <c r="G13" s="85"/>
      <c r="H13" s="31">
        <f t="shared" ref="H13:H15" si="6">C13+D13-F13</f>
        <v>1000</v>
      </c>
      <c r="I13" s="20">
        <v>1000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15">
        <f t="shared" ref="U13:U15" si="7">SUM(I13:T13)</f>
        <v>1000</v>
      </c>
      <c r="V13" s="15">
        <f t="shared" ref="V13:V15" si="8">H13-U13</f>
        <v>0</v>
      </c>
    </row>
    <row r="14" spans="1:22" x14ac:dyDescent="0.25">
      <c r="A14" s="6" t="s">
        <v>32</v>
      </c>
      <c r="B14" s="7" t="s">
        <v>33</v>
      </c>
      <c r="C14" s="19">
        <v>1000</v>
      </c>
      <c r="D14" s="83"/>
      <c r="E14" s="84"/>
      <c r="F14" s="84"/>
      <c r="G14" s="85"/>
      <c r="H14" s="31">
        <f t="shared" si="6"/>
        <v>1000</v>
      </c>
      <c r="I14" s="20">
        <v>1000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15">
        <f t="shared" si="7"/>
        <v>1000</v>
      </c>
      <c r="V14" s="15">
        <f t="shared" si="8"/>
        <v>0</v>
      </c>
    </row>
    <row r="15" spans="1:22" x14ac:dyDescent="0.25">
      <c r="A15" s="6" t="s">
        <v>34</v>
      </c>
      <c r="B15" s="7" t="s">
        <v>35</v>
      </c>
      <c r="C15" s="19">
        <v>1000</v>
      </c>
      <c r="D15" s="83"/>
      <c r="E15" s="84"/>
      <c r="F15" s="84"/>
      <c r="G15" s="85"/>
      <c r="H15" s="31">
        <f t="shared" si="6"/>
        <v>1000</v>
      </c>
      <c r="I15" s="20">
        <v>1000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15">
        <f t="shared" si="7"/>
        <v>1000</v>
      </c>
      <c r="V15" s="15">
        <f t="shared" si="8"/>
        <v>0</v>
      </c>
    </row>
    <row r="16" spans="1:22" ht="13.5" thickBot="1" x14ac:dyDescent="0.3">
      <c r="A16" s="6"/>
      <c r="B16" s="7"/>
      <c r="C16" s="19"/>
      <c r="D16" s="87"/>
      <c r="E16" s="88"/>
      <c r="F16" s="88"/>
      <c r="G16" s="90"/>
      <c r="H16" s="31">
        <f t="shared" si="1"/>
        <v>0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15">
        <f t="shared" ref="U16" si="9">SUM(I16:T16)</f>
        <v>0</v>
      </c>
      <c r="V16" s="15">
        <f t="shared" ref="V16" si="10">H16-U16</f>
        <v>0</v>
      </c>
    </row>
    <row r="17" spans="1:22" ht="13.5" thickBot="1" x14ac:dyDescent="0.3">
      <c r="A17" s="66" t="s">
        <v>26</v>
      </c>
      <c r="B17" s="67"/>
      <c r="C17" s="23">
        <f>SUM(C8:C16)</f>
        <v>129053000</v>
      </c>
      <c r="D17" s="79">
        <f>SUM(D8:E16)</f>
        <v>0</v>
      </c>
      <c r="E17" s="80"/>
      <c r="F17" s="79">
        <f>SUM(F8:G16)</f>
        <v>0</v>
      </c>
      <c r="G17" s="80"/>
      <c r="H17" s="23">
        <f t="shared" ref="H17:V17" si="11">SUM(H8:H16)</f>
        <v>129053000</v>
      </c>
      <c r="I17" s="35">
        <f t="shared" si="11"/>
        <v>215500</v>
      </c>
      <c r="J17" s="36">
        <f t="shared" si="11"/>
        <v>89762500</v>
      </c>
      <c r="K17" s="36">
        <f t="shared" si="11"/>
        <v>762500</v>
      </c>
      <c r="L17" s="36">
        <f t="shared" si="11"/>
        <v>762500</v>
      </c>
      <c r="M17" s="36">
        <f t="shared" si="11"/>
        <v>762500</v>
      </c>
      <c r="N17" s="36">
        <f t="shared" si="11"/>
        <v>762500</v>
      </c>
      <c r="O17" s="36">
        <f t="shared" si="11"/>
        <v>32762500</v>
      </c>
      <c r="P17" s="36">
        <f t="shared" si="11"/>
        <v>762500</v>
      </c>
      <c r="Q17" s="36">
        <f t="shared" si="11"/>
        <v>762500</v>
      </c>
      <c r="R17" s="36">
        <f t="shared" si="11"/>
        <v>762500</v>
      </c>
      <c r="S17" s="36">
        <f t="shared" si="11"/>
        <v>762500</v>
      </c>
      <c r="T17" s="37">
        <f t="shared" si="11"/>
        <v>212500</v>
      </c>
      <c r="U17" s="23">
        <f t="shared" si="11"/>
        <v>129053000</v>
      </c>
      <c r="V17" s="23">
        <f t="shared" si="11"/>
        <v>0</v>
      </c>
    </row>
    <row r="19" spans="1:22" ht="13.5" thickBot="1" x14ac:dyDescent="0.3">
      <c r="A19" s="86" t="s">
        <v>23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x14ac:dyDescent="0.25">
      <c r="A20" s="72" t="s">
        <v>2</v>
      </c>
      <c r="B20" s="70" t="s">
        <v>3</v>
      </c>
      <c r="C20" s="64" t="s">
        <v>4</v>
      </c>
      <c r="D20" s="75" t="s">
        <v>5</v>
      </c>
      <c r="E20" s="76"/>
      <c r="F20" s="76"/>
      <c r="G20" s="77"/>
      <c r="H20" s="64" t="s">
        <v>8</v>
      </c>
      <c r="I20" s="72" t="s">
        <v>9</v>
      </c>
      <c r="J20" s="68" t="s">
        <v>10</v>
      </c>
      <c r="K20" s="68" t="s">
        <v>11</v>
      </c>
      <c r="L20" s="68" t="s">
        <v>12</v>
      </c>
      <c r="M20" s="68" t="s">
        <v>13</v>
      </c>
      <c r="N20" s="68" t="s">
        <v>14</v>
      </c>
      <c r="O20" s="68" t="s">
        <v>15</v>
      </c>
      <c r="P20" s="68" t="s">
        <v>16</v>
      </c>
      <c r="Q20" s="68" t="s">
        <v>17</v>
      </c>
      <c r="R20" s="68" t="s">
        <v>18</v>
      </c>
      <c r="S20" s="68" t="s">
        <v>19</v>
      </c>
      <c r="T20" s="70" t="s">
        <v>20</v>
      </c>
      <c r="U20" s="64" t="s">
        <v>21</v>
      </c>
      <c r="V20" s="64" t="s">
        <v>22</v>
      </c>
    </row>
    <row r="21" spans="1:22" ht="90" thickBot="1" x14ac:dyDescent="0.3">
      <c r="A21" s="73"/>
      <c r="B21" s="74"/>
      <c r="C21" s="65"/>
      <c r="D21" s="8" t="s">
        <v>6</v>
      </c>
      <c r="E21" s="9" t="s">
        <v>7</v>
      </c>
      <c r="F21" s="9" t="s">
        <v>24</v>
      </c>
      <c r="G21" s="10" t="s">
        <v>25</v>
      </c>
      <c r="H21" s="65"/>
      <c r="I21" s="7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1"/>
      <c r="U21" s="65"/>
      <c r="V21" s="65"/>
    </row>
    <row r="22" spans="1:22" ht="25.5" x14ac:dyDescent="0.25">
      <c r="A22" s="2" t="s">
        <v>62</v>
      </c>
      <c r="B22" s="3" t="s">
        <v>63</v>
      </c>
      <c r="C22" s="11">
        <v>4800000</v>
      </c>
      <c r="D22" s="12"/>
      <c r="E22" s="13"/>
      <c r="F22" s="13"/>
      <c r="G22" s="14"/>
      <c r="H22" s="27">
        <f>C22+D22-E22+F22-G22</f>
        <v>4800000</v>
      </c>
      <c r="I22" s="28"/>
      <c r="J22" s="29"/>
      <c r="K22" s="29"/>
      <c r="L22" s="29"/>
      <c r="M22" s="29"/>
      <c r="N22" s="29"/>
      <c r="O22" s="29">
        <f>4800000/5</f>
        <v>960000</v>
      </c>
      <c r="P22" s="29">
        <f t="shared" ref="P22:S22" si="12">4800000/5</f>
        <v>960000</v>
      </c>
      <c r="Q22" s="29">
        <f t="shared" si="12"/>
        <v>960000</v>
      </c>
      <c r="R22" s="29">
        <f t="shared" si="12"/>
        <v>960000</v>
      </c>
      <c r="S22" s="29">
        <f t="shared" si="12"/>
        <v>960000</v>
      </c>
      <c r="T22" s="39"/>
      <c r="U22" s="40">
        <f>SUM(I22:T22)</f>
        <v>4800000</v>
      </c>
      <c r="V22" s="11">
        <f>H22-U22</f>
        <v>0</v>
      </c>
    </row>
    <row r="23" spans="1:22" ht="38.25" x14ac:dyDescent="0.25">
      <c r="A23" s="2" t="s">
        <v>36</v>
      </c>
      <c r="B23" s="3" t="s">
        <v>37</v>
      </c>
      <c r="C23" s="11">
        <v>8600000</v>
      </c>
      <c r="D23" s="12"/>
      <c r="E23" s="13"/>
      <c r="F23" s="13"/>
      <c r="G23" s="14"/>
      <c r="H23" s="27">
        <f t="shared" ref="H23" si="13">C23+D23-E23+F23-G23</f>
        <v>8600000</v>
      </c>
      <c r="I23" s="16"/>
      <c r="J23" s="17"/>
      <c r="K23" s="17"/>
      <c r="L23" s="17"/>
      <c r="M23" s="17"/>
      <c r="N23" s="17"/>
      <c r="O23" s="17">
        <f>8600000/5</f>
        <v>1720000</v>
      </c>
      <c r="P23" s="17">
        <f t="shared" ref="P23:S23" si="14">8600000/5</f>
        <v>1720000</v>
      </c>
      <c r="Q23" s="17">
        <f t="shared" si="14"/>
        <v>1720000</v>
      </c>
      <c r="R23" s="17">
        <f t="shared" si="14"/>
        <v>1720000</v>
      </c>
      <c r="S23" s="17">
        <f t="shared" si="14"/>
        <v>1720000</v>
      </c>
      <c r="T23" s="41"/>
      <c r="U23" s="11">
        <f t="shared" ref="U23" si="15">SUM(I23:T23)</f>
        <v>8600000</v>
      </c>
      <c r="V23" s="11">
        <f t="shared" ref="V23" si="16">H23-U23</f>
        <v>0</v>
      </c>
    </row>
    <row r="24" spans="1:22" ht="25.5" x14ac:dyDescent="0.25">
      <c r="A24" s="2" t="s">
        <v>38</v>
      </c>
      <c r="B24" s="3" t="s">
        <v>39</v>
      </c>
      <c r="C24" s="11">
        <v>12500000</v>
      </c>
      <c r="D24" s="12"/>
      <c r="E24" s="13"/>
      <c r="F24" s="13"/>
      <c r="G24" s="14"/>
      <c r="H24" s="27">
        <f t="shared" ref="H24:H45" si="17">C24+D24-E24+F24-G24</f>
        <v>12500000</v>
      </c>
      <c r="I24" s="16"/>
      <c r="J24" s="17">
        <f>12500000/10</f>
        <v>1250000</v>
      </c>
      <c r="K24" s="17">
        <f t="shared" ref="K24:S24" si="18">12500000/10</f>
        <v>1250000</v>
      </c>
      <c r="L24" s="17">
        <f t="shared" si="18"/>
        <v>1250000</v>
      </c>
      <c r="M24" s="17">
        <f t="shared" si="18"/>
        <v>1250000</v>
      </c>
      <c r="N24" s="17">
        <f t="shared" si="18"/>
        <v>1250000</v>
      </c>
      <c r="O24" s="17">
        <f t="shared" si="18"/>
        <v>1250000</v>
      </c>
      <c r="P24" s="17">
        <f t="shared" si="18"/>
        <v>1250000</v>
      </c>
      <c r="Q24" s="17">
        <f t="shared" si="18"/>
        <v>1250000</v>
      </c>
      <c r="R24" s="17">
        <f t="shared" si="18"/>
        <v>1250000</v>
      </c>
      <c r="S24" s="17">
        <f t="shared" si="18"/>
        <v>1250000</v>
      </c>
      <c r="T24" s="41"/>
      <c r="U24" s="11">
        <f t="shared" ref="U24:U45" si="19">SUM(I24:T24)</f>
        <v>12500000</v>
      </c>
      <c r="V24" s="11">
        <f t="shared" ref="V24:V45" si="20">H24-U24</f>
        <v>0</v>
      </c>
    </row>
    <row r="25" spans="1:22" ht="25.5" x14ac:dyDescent="0.25">
      <c r="A25" s="2" t="s">
        <v>67</v>
      </c>
      <c r="B25" s="3" t="s">
        <v>68</v>
      </c>
      <c r="C25" s="11">
        <v>12000000</v>
      </c>
      <c r="D25" s="12"/>
      <c r="E25" s="13"/>
      <c r="F25" s="13"/>
      <c r="G25" s="14"/>
      <c r="H25" s="27">
        <f t="shared" si="17"/>
        <v>12000000</v>
      </c>
      <c r="I25" s="16"/>
      <c r="J25" s="17"/>
      <c r="K25" s="17"/>
      <c r="L25" s="17"/>
      <c r="M25" s="17"/>
      <c r="N25" s="17"/>
      <c r="O25" s="17">
        <f>12000000/5</f>
        <v>2400000</v>
      </c>
      <c r="P25" s="17">
        <f t="shared" ref="P25:S25" si="21">12000000/5</f>
        <v>2400000</v>
      </c>
      <c r="Q25" s="17">
        <f t="shared" si="21"/>
        <v>2400000</v>
      </c>
      <c r="R25" s="17">
        <f t="shared" si="21"/>
        <v>2400000</v>
      </c>
      <c r="S25" s="17">
        <f t="shared" si="21"/>
        <v>2400000</v>
      </c>
      <c r="T25" s="41"/>
      <c r="U25" s="11">
        <f t="shared" si="19"/>
        <v>12000000</v>
      </c>
      <c r="V25" s="11">
        <f t="shared" si="20"/>
        <v>0</v>
      </c>
    </row>
    <row r="26" spans="1:22" ht="38.25" x14ac:dyDescent="0.25">
      <c r="A26" s="2" t="s">
        <v>78</v>
      </c>
      <c r="B26" s="3" t="s">
        <v>79</v>
      </c>
      <c r="C26" s="11">
        <v>1000</v>
      </c>
      <c r="D26" s="12"/>
      <c r="E26" s="13"/>
      <c r="F26" s="13"/>
      <c r="G26" s="14"/>
      <c r="H26" s="27">
        <f t="shared" si="17"/>
        <v>1000</v>
      </c>
      <c r="I26" s="16"/>
      <c r="J26" s="17">
        <f>1000/10</f>
        <v>100</v>
      </c>
      <c r="K26" s="17">
        <f t="shared" ref="K26:S26" si="22">1000/10</f>
        <v>100</v>
      </c>
      <c r="L26" s="17">
        <f t="shared" si="22"/>
        <v>100</v>
      </c>
      <c r="M26" s="17">
        <f t="shared" si="22"/>
        <v>100</v>
      </c>
      <c r="N26" s="17">
        <f t="shared" si="22"/>
        <v>100</v>
      </c>
      <c r="O26" s="17">
        <f t="shared" si="22"/>
        <v>100</v>
      </c>
      <c r="P26" s="17">
        <f t="shared" si="22"/>
        <v>100</v>
      </c>
      <c r="Q26" s="17">
        <f t="shared" si="22"/>
        <v>100</v>
      </c>
      <c r="R26" s="17">
        <f t="shared" si="22"/>
        <v>100</v>
      </c>
      <c r="S26" s="17">
        <f t="shared" si="22"/>
        <v>100</v>
      </c>
      <c r="T26" s="41"/>
      <c r="U26" s="11">
        <f t="shared" si="19"/>
        <v>1000</v>
      </c>
      <c r="V26" s="11">
        <f t="shared" si="20"/>
        <v>0</v>
      </c>
    </row>
    <row r="27" spans="1:22" ht="25.5" x14ac:dyDescent="0.25">
      <c r="A27" s="2" t="s">
        <v>80</v>
      </c>
      <c r="B27" s="3" t="s">
        <v>81</v>
      </c>
      <c r="C27" s="11">
        <v>50000</v>
      </c>
      <c r="D27" s="12"/>
      <c r="E27" s="13"/>
      <c r="F27" s="13"/>
      <c r="G27" s="14"/>
      <c r="H27" s="27">
        <f t="shared" si="17"/>
        <v>50000</v>
      </c>
      <c r="I27" s="16"/>
      <c r="J27" s="17">
        <f>50000/10</f>
        <v>5000</v>
      </c>
      <c r="K27" s="17">
        <f t="shared" ref="K27:S27" si="23">50000/10</f>
        <v>5000</v>
      </c>
      <c r="L27" s="17">
        <f t="shared" si="23"/>
        <v>5000</v>
      </c>
      <c r="M27" s="17">
        <f t="shared" si="23"/>
        <v>5000</v>
      </c>
      <c r="N27" s="17">
        <f t="shared" si="23"/>
        <v>5000</v>
      </c>
      <c r="O27" s="17">
        <f t="shared" si="23"/>
        <v>5000</v>
      </c>
      <c r="P27" s="17">
        <f t="shared" si="23"/>
        <v>5000</v>
      </c>
      <c r="Q27" s="17">
        <f t="shared" si="23"/>
        <v>5000</v>
      </c>
      <c r="R27" s="17">
        <f t="shared" si="23"/>
        <v>5000</v>
      </c>
      <c r="S27" s="17">
        <f t="shared" si="23"/>
        <v>5000</v>
      </c>
      <c r="T27" s="41"/>
      <c r="U27" s="11">
        <f t="shared" si="19"/>
        <v>50000</v>
      </c>
      <c r="V27" s="11">
        <f t="shared" si="20"/>
        <v>0</v>
      </c>
    </row>
    <row r="28" spans="1:22" ht="25.5" x14ac:dyDescent="0.25">
      <c r="A28" s="2" t="s">
        <v>40</v>
      </c>
      <c r="B28" s="3" t="s">
        <v>41</v>
      </c>
      <c r="C28" s="11">
        <v>20400000</v>
      </c>
      <c r="D28" s="12"/>
      <c r="E28" s="13"/>
      <c r="F28" s="13"/>
      <c r="G28" s="14"/>
      <c r="H28" s="27">
        <f t="shared" si="17"/>
        <v>20400000</v>
      </c>
      <c r="I28" s="16"/>
      <c r="J28" s="17">
        <f>20400000/10</f>
        <v>2040000</v>
      </c>
      <c r="K28" s="17">
        <f t="shared" ref="K28:S28" si="24">20400000/10</f>
        <v>2040000</v>
      </c>
      <c r="L28" s="17">
        <f t="shared" si="24"/>
        <v>2040000</v>
      </c>
      <c r="M28" s="17">
        <f t="shared" si="24"/>
        <v>2040000</v>
      </c>
      <c r="N28" s="17">
        <f t="shared" si="24"/>
        <v>2040000</v>
      </c>
      <c r="O28" s="17">
        <f t="shared" si="24"/>
        <v>2040000</v>
      </c>
      <c r="P28" s="17">
        <f t="shared" si="24"/>
        <v>2040000</v>
      </c>
      <c r="Q28" s="17">
        <f t="shared" si="24"/>
        <v>2040000</v>
      </c>
      <c r="R28" s="17">
        <f t="shared" si="24"/>
        <v>2040000</v>
      </c>
      <c r="S28" s="17">
        <f t="shared" si="24"/>
        <v>2040000</v>
      </c>
      <c r="T28" s="41"/>
      <c r="U28" s="11">
        <f t="shared" si="19"/>
        <v>20400000</v>
      </c>
      <c r="V28" s="11">
        <f t="shared" si="20"/>
        <v>0</v>
      </c>
    </row>
    <row r="29" spans="1:22" ht="25.5" x14ac:dyDescent="0.25">
      <c r="A29" s="2" t="s">
        <v>42</v>
      </c>
      <c r="B29" s="3" t="s">
        <v>43</v>
      </c>
      <c r="C29" s="11">
        <v>6600000</v>
      </c>
      <c r="D29" s="12"/>
      <c r="E29" s="13"/>
      <c r="F29" s="13"/>
      <c r="G29" s="14"/>
      <c r="H29" s="27">
        <f t="shared" si="17"/>
        <v>6600000</v>
      </c>
      <c r="I29" s="16"/>
      <c r="J29" s="17"/>
      <c r="K29" s="17"/>
      <c r="L29" s="17"/>
      <c r="M29" s="17"/>
      <c r="N29" s="17"/>
      <c r="O29" s="17">
        <f>6600000/5</f>
        <v>1320000</v>
      </c>
      <c r="P29" s="17">
        <f t="shared" ref="P29:S29" si="25">6600000/5</f>
        <v>1320000</v>
      </c>
      <c r="Q29" s="17">
        <f t="shared" si="25"/>
        <v>1320000</v>
      </c>
      <c r="R29" s="17">
        <f t="shared" si="25"/>
        <v>1320000</v>
      </c>
      <c r="S29" s="17">
        <f t="shared" si="25"/>
        <v>1320000</v>
      </c>
      <c r="T29" s="41"/>
      <c r="U29" s="11">
        <f t="shared" si="19"/>
        <v>6600000</v>
      </c>
      <c r="V29" s="11">
        <f t="shared" si="20"/>
        <v>0</v>
      </c>
    </row>
    <row r="30" spans="1:22" ht="25.5" x14ac:dyDescent="0.25">
      <c r="A30" s="2" t="s">
        <v>82</v>
      </c>
      <c r="B30" s="3" t="s">
        <v>83</v>
      </c>
      <c r="C30" s="11">
        <v>0</v>
      </c>
      <c r="D30" s="12"/>
      <c r="E30" s="13"/>
      <c r="F30" s="13"/>
      <c r="G30" s="14"/>
      <c r="H30" s="27">
        <f t="shared" si="17"/>
        <v>0</v>
      </c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41"/>
      <c r="U30" s="11">
        <f t="shared" si="19"/>
        <v>0</v>
      </c>
      <c r="V30" s="11">
        <f t="shared" si="20"/>
        <v>0</v>
      </c>
    </row>
    <row r="31" spans="1:22" ht="25.5" x14ac:dyDescent="0.25">
      <c r="A31" s="2" t="s">
        <v>60</v>
      </c>
      <c r="B31" s="3" t="s">
        <v>61</v>
      </c>
      <c r="C31" s="11">
        <v>1000</v>
      </c>
      <c r="D31" s="12"/>
      <c r="E31" s="13"/>
      <c r="F31" s="13"/>
      <c r="G31" s="14"/>
      <c r="H31" s="27">
        <f t="shared" si="17"/>
        <v>1000</v>
      </c>
      <c r="I31" s="16"/>
      <c r="J31" s="17">
        <f>1000/10</f>
        <v>100</v>
      </c>
      <c r="K31" s="17">
        <f t="shared" ref="K31:S31" si="26">1000/10</f>
        <v>100</v>
      </c>
      <c r="L31" s="17">
        <f t="shared" si="26"/>
        <v>100</v>
      </c>
      <c r="M31" s="17">
        <f t="shared" si="26"/>
        <v>100</v>
      </c>
      <c r="N31" s="17">
        <f t="shared" si="26"/>
        <v>100</v>
      </c>
      <c r="O31" s="17">
        <f t="shared" si="26"/>
        <v>100</v>
      </c>
      <c r="P31" s="17">
        <f t="shared" si="26"/>
        <v>100</v>
      </c>
      <c r="Q31" s="17">
        <f t="shared" si="26"/>
        <v>100</v>
      </c>
      <c r="R31" s="17">
        <f t="shared" si="26"/>
        <v>100</v>
      </c>
      <c r="S31" s="17">
        <f t="shared" si="26"/>
        <v>100</v>
      </c>
      <c r="T31" s="41"/>
      <c r="U31" s="11">
        <f t="shared" si="19"/>
        <v>1000</v>
      </c>
      <c r="V31" s="11">
        <f t="shared" si="20"/>
        <v>0</v>
      </c>
    </row>
    <row r="32" spans="1:22" ht="25.5" x14ac:dyDescent="0.25">
      <c r="A32" s="2" t="s">
        <v>44</v>
      </c>
      <c r="B32" s="3" t="s">
        <v>45</v>
      </c>
      <c r="C32" s="11">
        <v>1500000</v>
      </c>
      <c r="D32" s="12"/>
      <c r="E32" s="13"/>
      <c r="F32" s="13"/>
      <c r="G32" s="14"/>
      <c r="H32" s="27">
        <f t="shared" si="17"/>
        <v>1500000</v>
      </c>
      <c r="I32" s="16"/>
      <c r="J32" s="17">
        <f>1500000/11</f>
        <v>136363.63636363635</v>
      </c>
      <c r="K32" s="17">
        <f t="shared" ref="K32:T32" si="27">1500000/11</f>
        <v>136363.63636363635</v>
      </c>
      <c r="L32" s="17">
        <f t="shared" si="27"/>
        <v>136363.63636363635</v>
      </c>
      <c r="M32" s="17">
        <f t="shared" si="27"/>
        <v>136363.63636363635</v>
      </c>
      <c r="N32" s="17">
        <f t="shared" si="27"/>
        <v>136363.63636363635</v>
      </c>
      <c r="O32" s="17">
        <f t="shared" si="27"/>
        <v>136363.63636363635</v>
      </c>
      <c r="P32" s="17">
        <f t="shared" si="27"/>
        <v>136363.63636363635</v>
      </c>
      <c r="Q32" s="17">
        <f t="shared" si="27"/>
        <v>136363.63636363635</v>
      </c>
      <c r="R32" s="17">
        <f t="shared" si="27"/>
        <v>136363.63636363635</v>
      </c>
      <c r="S32" s="17">
        <f t="shared" si="27"/>
        <v>136363.63636363635</v>
      </c>
      <c r="T32" s="17">
        <f t="shared" si="27"/>
        <v>136363.63636363635</v>
      </c>
      <c r="U32" s="11">
        <f t="shared" si="19"/>
        <v>1499999.9999999995</v>
      </c>
      <c r="V32" s="11">
        <f t="shared" si="20"/>
        <v>0</v>
      </c>
    </row>
    <row r="33" spans="1:22" ht="25.5" x14ac:dyDescent="0.25">
      <c r="A33" s="2" t="s">
        <v>58</v>
      </c>
      <c r="B33" s="3" t="s">
        <v>59</v>
      </c>
      <c r="C33" s="11">
        <v>0</v>
      </c>
      <c r="D33" s="12"/>
      <c r="E33" s="13"/>
      <c r="F33" s="13"/>
      <c r="G33" s="14"/>
      <c r="H33" s="27">
        <f t="shared" si="17"/>
        <v>0</v>
      </c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41"/>
      <c r="U33" s="11">
        <f t="shared" si="19"/>
        <v>0</v>
      </c>
      <c r="V33" s="11">
        <f t="shared" si="20"/>
        <v>0</v>
      </c>
    </row>
    <row r="34" spans="1:22" ht="25.5" x14ac:dyDescent="0.25">
      <c r="A34" s="2" t="s">
        <v>46</v>
      </c>
      <c r="B34" s="3" t="s">
        <v>47</v>
      </c>
      <c r="C34" s="11">
        <v>5500000</v>
      </c>
      <c r="D34" s="12"/>
      <c r="E34" s="13"/>
      <c r="F34" s="13"/>
      <c r="G34" s="14"/>
      <c r="H34" s="27">
        <f t="shared" si="17"/>
        <v>5500000</v>
      </c>
      <c r="I34" s="16"/>
      <c r="J34" s="17">
        <f>5500000/10</f>
        <v>550000</v>
      </c>
      <c r="K34" s="17">
        <f t="shared" ref="K34:S34" si="28">5500000/10</f>
        <v>550000</v>
      </c>
      <c r="L34" s="17">
        <f t="shared" si="28"/>
        <v>550000</v>
      </c>
      <c r="M34" s="17">
        <f t="shared" si="28"/>
        <v>550000</v>
      </c>
      <c r="N34" s="17">
        <f t="shared" si="28"/>
        <v>550000</v>
      </c>
      <c r="O34" s="17">
        <f t="shared" si="28"/>
        <v>550000</v>
      </c>
      <c r="P34" s="17">
        <f t="shared" si="28"/>
        <v>550000</v>
      </c>
      <c r="Q34" s="17">
        <f t="shared" si="28"/>
        <v>550000</v>
      </c>
      <c r="R34" s="17">
        <f t="shared" si="28"/>
        <v>550000</v>
      </c>
      <c r="S34" s="17">
        <f t="shared" si="28"/>
        <v>550000</v>
      </c>
      <c r="T34" s="41"/>
      <c r="U34" s="11">
        <f t="shared" si="19"/>
        <v>5500000</v>
      </c>
      <c r="V34" s="11">
        <f t="shared" si="20"/>
        <v>0</v>
      </c>
    </row>
    <row r="35" spans="1:22" ht="25.5" x14ac:dyDescent="0.25">
      <c r="A35" s="2" t="s">
        <v>48</v>
      </c>
      <c r="B35" s="3" t="s">
        <v>49</v>
      </c>
      <c r="C35" s="11">
        <v>29000000</v>
      </c>
      <c r="D35" s="12"/>
      <c r="E35" s="13"/>
      <c r="F35" s="13"/>
      <c r="G35" s="14"/>
      <c r="H35" s="27">
        <f t="shared" si="17"/>
        <v>29000000</v>
      </c>
      <c r="I35" s="16"/>
      <c r="J35" s="17">
        <f>29000000/10</f>
        <v>2900000</v>
      </c>
      <c r="K35" s="17">
        <f t="shared" ref="K35:S35" si="29">29000000/10</f>
        <v>2900000</v>
      </c>
      <c r="L35" s="17">
        <f t="shared" si="29"/>
        <v>2900000</v>
      </c>
      <c r="M35" s="17">
        <f t="shared" si="29"/>
        <v>2900000</v>
      </c>
      <c r="N35" s="17">
        <f t="shared" si="29"/>
        <v>2900000</v>
      </c>
      <c r="O35" s="17">
        <f t="shared" si="29"/>
        <v>2900000</v>
      </c>
      <c r="P35" s="17">
        <f t="shared" si="29"/>
        <v>2900000</v>
      </c>
      <c r="Q35" s="17">
        <f t="shared" si="29"/>
        <v>2900000</v>
      </c>
      <c r="R35" s="17">
        <f t="shared" si="29"/>
        <v>2900000</v>
      </c>
      <c r="S35" s="17">
        <f t="shared" si="29"/>
        <v>2900000</v>
      </c>
      <c r="T35" s="41"/>
      <c r="U35" s="11">
        <f t="shared" si="19"/>
        <v>29000000</v>
      </c>
      <c r="V35" s="11">
        <f t="shared" si="20"/>
        <v>0</v>
      </c>
    </row>
    <row r="36" spans="1:22" ht="25.5" x14ac:dyDescent="0.25">
      <c r="A36" s="2" t="s">
        <v>84</v>
      </c>
      <c r="B36" s="3" t="s">
        <v>85</v>
      </c>
      <c r="C36" s="11">
        <v>0</v>
      </c>
      <c r="D36" s="12"/>
      <c r="E36" s="13"/>
      <c r="F36" s="13"/>
      <c r="G36" s="14"/>
      <c r="H36" s="27">
        <f t="shared" si="17"/>
        <v>0</v>
      </c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41"/>
      <c r="U36" s="11">
        <f t="shared" si="19"/>
        <v>0</v>
      </c>
      <c r="V36" s="11">
        <f t="shared" si="20"/>
        <v>0</v>
      </c>
    </row>
    <row r="37" spans="1:22" ht="25.5" x14ac:dyDescent="0.25">
      <c r="A37" s="2" t="s">
        <v>86</v>
      </c>
      <c r="B37" s="3" t="s">
        <v>87</v>
      </c>
      <c r="C37" s="11">
        <v>1900000</v>
      </c>
      <c r="D37" s="12"/>
      <c r="E37" s="13"/>
      <c r="F37" s="13"/>
      <c r="G37" s="14"/>
      <c r="H37" s="27">
        <f t="shared" si="17"/>
        <v>1900000</v>
      </c>
      <c r="I37" s="16"/>
      <c r="J37" s="17">
        <f>1900000/10</f>
        <v>190000</v>
      </c>
      <c r="K37" s="17">
        <f t="shared" ref="K37:S37" si="30">1900000/10</f>
        <v>190000</v>
      </c>
      <c r="L37" s="17">
        <f t="shared" si="30"/>
        <v>190000</v>
      </c>
      <c r="M37" s="17">
        <f t="shared" si="30"/>
        <v>190000</v>
      </c>
      <c r="N37" s="17">
        <f t="shared" si="30"/>
        <v>190000</v>
      </c>
      <c r="O37" s="17">
        <f t="shared" si="30"/>
        <v>190000</v>
      </c>
      <c r="P37" s="17">
        <f t="shared" si="30"/>
        <v>190000</v>
      </c>
      <c r="Q37" s="17">
        <f t="shared" si="30"/>
        <v>190000</v>
      </c>
      <c r="R37" s="17">
        <f t="shared" si="30"/>
        <v>190000</v>
      </c>
      <c r="S37" s="17">
        <f t="shared" si="30"/>
        <v>190000</v>
      </c>
      <c r="T37" s="41"/>
      <c r="U37" s="11">
        <f t="shared" si="19"/>
        <v>1900000</v>
      </c>
      <c r="V37" s="11">
        <f t="shared" si="20"/>
        <v>0</v>
      </c>
    </row>
    <row r="38" spans="1:22" ht="25.5" x14ac:dyDescent="0.25">
      <c r="A38" s="2" t="s">
        <v>66</v>
      </c>
      <c r="B38" s="3" t="s">
        <v>88</v>
      </c>
      <c r="C38" s="11">
        <v>16000000</v>
      </c>
      <c r="D38" s="12"/>
      <c r="E38" s="13"/>
      <c r="F38" s="13"/>
      <c r="G38" s="14"/>
      <c r="H38" s="27">
        <f t="shared" si="17"/>
        <v>16000000</v>
      </c>
      <c r="I38" s="16"/>
      <c r="J38" s="17">
        <f>16000000/10</f>
        <v>1600000</v>
      </c>
      <c r="K38" s="17">
        <f t="shared" ref="K38:S38" si="31">16000000/10</f>
        <v>1600000</v>
      </c>
      <c r="L38" s="17">
        <f t="shared" si="31"/>
        <v>1600000</v>
      </c>
      <c r="M38" s="17">
        <f t="shared" si="31"/>
        <v>1600000</v>
      </c>
      <c r="N38" s="17">
        <f t="shared" si="31"/>
        <v>1600000</v>
      </c>
      <c r="O38" s="17">
        <f t="shared" si="31"/>
        <v>1600000</v>
      </c>
      <c r="P38" s="17">
        <f t="shared" si="31"/>
        <v>1600000</v>
      </c>
      <c r="Q38" s="17">
        <f t="shared" si="31"/>
        <v>1600000</v>
      </c>
      <c r="R38" s="17">
        <f t="shared" si="31"/>
        <v>1600000</v>
      </c>
      <c r="S38" s="17">
        <f t="shared" si="31"/>
        <v>1600000</v>
      </c>
      <c r="T38" s="41"/>
      <c r="U38" s="11">
        <f t="shared" si="19"/>
        <v>16000000</v>
      </c>
      <c r="V38" s="11">
        <f t="shared" si="20"/>
        <v>0</v>
      </c>
    </row>
    <row r="39" spans="1:22" ht="25.5" x14ac:dyDescent="0.25">
      <c r="A39" s="2" t="s">
        <v>89</v>
      </c>
      <c r="B39" s="3" t="s">
        <v>90</v>
      </c>
      <c r="C39" s="11">
        <v>0</v>
      </c>
      <c r="D39" s="12"/>
      <c r="E39" s="13"/>
      <c r="F39" s="13"/>
      <c r="G39" s="14"/>
      <c r="H39" s="27">
        <f t="shared" si="17"/>
        <v>0</v>
      </c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41"/>
      <c r="U39" s="11">
        <f t="shared" si="19"/>
        <v>0</v>
      </c>
      <c r="V39" s="11">
        <f t="shared" si="20"/>
        <v>0</v>
      </c>
    </row>
    <row r="40" spans="1:22" ht="25.5" x14ac:dyDescent="0.25">
      <c r="A40" s="2" t="s">
        <v>50</v>
      </c>
      <c r="B40" s="3" t="s">
        <v>51</v>
      </c>
      <c r="C40" s="11">
        <v>2800000</v>
      </c>
      <c r="D40" s="12"/>
      <c r="E40" s="13"/>
      <c r="F40" s="13"/>
      <c r="G40" s="14"/>
      <c r="H40" s="27">
        <f t="shared" si="17"/>
        <v>2800000</v>
      </c>
      <c r="I40" s="16"/>
      <c r="J40" s="17">
        <f>2800000/10</f>
        <v>280000</v>
      </c>
      <c r="K40" s="17">
        <f t="shared" ref="K40:S40" si="32">2800000/10</f>
        <v>280000</v>
      </c>
      <c r="L40" s="17">
        <f t="shared" si="32"/>
        <v>280000</v>
      </c>
      <c r="M40" s="17">
        <f t="shared" si="32"/>
        <v>280000</v>
      </c>
      <c r="N40" s="17">
        <f t="shared" si="32"/>
        <v>280000</v>
      </c>
      <c r="O40" s="17">
        <f t="shared" si="32"/>
        <v>280000</v>
      </c>
      <c r="P40" s="17">
        <f t="shared" si="32"/>
        <v>280000</v>
      </c>
      <c r="Q40" s="17">
        <f t="shared" si="32"/>
        <v>280000</v>
      </c>
      <c r="R40" s="17">
        <f t="shared" si="32"/>
        <v>280000</v>
      </c>
      <c r="S40" s="17">
        <f t="shared" si="32"/>
        <v>280000</v>
      </c>
      <c r="T40" s="41"/>
      <c r="U40" s="11">
        <f t="shared" si="19"/>
        <v>2800000</v>
      </c>
      <c r="V40" s="11">
        <f t="shared" si="20"/>
        <v>0</v>
      </c>
    </row>
    <row r="41" spans="1:22" ht="25.5" x14ac:dyDescent="0.25">
      <c r="A41" s="2" t="s">
        <v>91</v>
      </c>
      <c r="B41" s="3" t="s">
        <v>92</v>
      </c>
      <c r="C41" s="11">
        <v>3700000</v>
      </c>
      <c r="D41" s="12"/>
      <c r="E41" s="13"/>
      <c r="F41" s="13"/>
      <c r="G41" s="14"/>
      <c r="H41" s="27">
        <f t="shared" si="17"/>
        <v>3700000</v>
      </c>
      <c r="I41" s="16">
        <f>3700000/12-100000</f>
        <v>208333.33333333331</v>
      </c>
      <c r="J41" s="17">
        <f>3700000/12+100000</f>
        <v>408333.33333333331</v>
      </c>
      <c r="K41" s="17">
        <f t="shared" ref="K41:T41" si="33">3700000/12</f>
        <v>308333.33333333331</v>
      </c>
      <c r="L41" s="17">
        <f t="shared" si="33"/>
        <v>308333.33333333331</v>
      </c>
      <c r="M41" s="17">
        <f t="shared" si="33"/>
        <v>308333.33333333331</v>
      </c>
      <c r="N41" s="17">
        <f t="shared" si="33"/>
        <v>308333.33333333331</v>
      </c>
      <c r="O41" s="17">
        <f t="shared" si="33"/>
        <v>308333.33333333331</v>
      </c>
      <c r="P41" s="17">
        <f t="shared" si="33"/>
        <v>308333.33333333331</v>
      </c>
      <c r="Q41" s="17">
        <f t="shared" si="33"/>
        <v>308333.33333333331</v>
      </c>
      <c r="R41" s="17">
        <f t="shared" si="33"/>
        <v>308333.33333333331</v>
      </c>
      <c r="S41" s="17">
        <f t="shared" si="33"/>
        <v>308333.33333333331</v>
      </c>
      <c r="T41" s="41">
        <f t="shared" si="33"/>
        <v>308333.33333333331</v>
      </c>
      <c r="U41" s="11">
        <f t="shared" si="19"/>
        <v>3700000.0000000005</v>
      </c>
      <c r="V41" s="11">
        <f t="shared" si="20"/>
        <v>0</v>
      </c>
    </row>
    <row r="42" spans="1:22" ht="25.5" x14ac:dyDescent="0.25">
      <c r="A42" s="2" t="s">
        <v>52</v>
      </c>
      <c r="B42" s="3" t="s">
        <v>53</v>
      </c>
      <c r="C42" s="11">
        <v>3700000</v>
      </c>
      <c r="D42" s="12"/>
      <c r="E42" s="13"/>
      <c r="F42" s="13"/>
      <c r="G42" s="14"/>
      <c r="H42" s="27">
        <f t="shared" si="17"/>
        <v>3700000</v>
      </c>
      <c r="I42" s="16"/>
      <c r="J42" s="17">
        <f>3700000/11</f>
        <v>336363.63636363635</v>
      </c>
      <c r="K42" s="17">
        <f t="shared" ref="K42:T42" si="34">3700000/11</f>
        <v>336363.63636363635</v>
      </c>
      <c r="L42" s="17">
        <f t="shared" si="34"/>
        <v>336363.63636363635</v>
      </c>
      <c r="M42" s="17">
        <f t="shared" si="34"/>
        <v>336363.63636363635</v>
      </c>
      <c r="N42" s="17">
        <f t="shared" si="34"/>
        <v>336363.63636363635</v>
      </c>
      <c r="O42" s="17">
        <f t="shared" si="34"/>
        <v>336363.63636363635</v>
      </c>
      <c r="P42" s="17">
        <f t="shared" si="34"/>
        <v>336363.63636363635</v>
      </c>
      <c r="Q42" s="17">
        <f t="shared" si="34"/>
        <v>336363.63636363635</v>
      </c>
      <c r="R42" s="17">
        <f t="shared" si="34"/>
        <v>336363.63636363635</v>
      </c>
      <c r="S42" s="17">
        <f t="shared" si="34"/>
        <v>336363.63636363635</v>
      </c>
      <c r="T42" s="17">
        <f t="shared" si="34"/>
        <v>336363.63636363635</v>
      </c>
      <c r="U42" s="11">
        <f t="shared" si="19"/>
        <v>3699999.9999999991</v>
      </c>
      <c r="V42" s="11">
        <f t="shared" si="20"/>
        <v>0</v>
      </c>
    </row>
    <row r="43" spans="1:22" ht="25.5" x14ac:dyDescent="0.25">
      <c r="A43" s="2" t="s">
        <v>64</v>
      </c>
      <c r="B43" s="3" t="s">
        <v>65</v>
      </c>
      <c r="C43" s="11">
        <v>0</v>
      </c>
      <c r="D43" s="12"/>
      <c r="E43" s="13"/>
      <c r="F43" s="13"/>
      <c r="G43" s="14"/>
      <c r="H43" s="27">
        <f t="shared" si="17"/>
        <v>0</v>
      </c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41"/>
      <c r="U43" s="11">
        <f t="shared" si="19"/>
        <v>0</v>
      </c>
      <c r="V43" s="11">
        <f t="shared" si="20"/>
        <v>0</v>
      </c>
    </row>
    <row r="44" spans="1:22" ht="25.5" x14ac:dyDescent="0.25">
      <c r="A44" s="2" t="s">
        <v>54</v>
      </c>
      <c r="B44" s="3" t="s">
        <v>55</v>
      </c>
      <c r="C44" s="11">
        <v>0</v>
      </c>
      <c r="D44" s="12"/>
      <c r="E44" s="13"/>
      <c r="F44" s="13"/>
      <c r="G44" s="14"/>
      <c r="H44" s="27">
        <f t="shared" si="17"/>
        <v>0</v>
      </c>
      <c r="I44" s="1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41"/>
      <c r="U44" s="11">
        <f t="shared" si="19"/>
        <v>0</v>
      </c>
      <c r="V44" s="11">
        <f t="shared" si="20"/>
        <v>0</v>
      </c>
    </row>
    <row r="45" spans="1:22" ht="25.5" x14ac:dyDescent="0.25">
      <c r="A45" s="2" t="s">
        <v>56</v>
      </c>
      <c r="B45" s="3" t="s">
        <v>57</v>
      </c>
      <c r="C45" s="11">
        <v>1000</v>
      </c>
      <c r="D45" s="12"/>
      <c r="E45" s="13"/>
      <c r="F45" s="13"/>
      <c r="G45" s="14"/>
      <c r="H45" s="27">
        <f t="shared" si="17"/>
        <v>1000</v>
      </c>
      <c r="I45" s="16">
        <f>1000/12</f>
        <v>83.333333333333329</v>
      </c>
      <c r="J45" s="17">
        <f t="shared" ref="J45:T45" si="35">1000/12</f>
        <v>83.333333333333329</v>
      </c>
      <c r="K45" s="17">
        <f t="shared" si="35"/>
        <v>83.333333333333329</v>
      </c>
      <c r="L45" s="17">
        <f t="shared" si="35"/>
        <v>83.333333333333329</v>
      </c>
      <c r="M45" s="17">
        <f t="shared" si="35"/>
        <v>83.333333333333329</v>
      </c>
      <c r="N45" s="17">
        <f t="shared" si="35"/>
        <v>83.333333333333329</v>
      </c>
      <c r="O45" s="17">
        <f t="shared" si="35"/>
        <v>83.333333333333329</v>
      </c>
      <c r="P45" s="17">
        <f t="shared" si="35"/>
        <v>83.333333333333329</v>
      </c>
      <c r="Q45" s="17">
        <f t="shared" si="35"/>
        <v>83.333333333333329</v>
      </c>
      <c r="R45" s="17">
        <f t="shared" si="35"/>
        <v>83.333333333333329</v>
      </c>
      <c r="S45" s="17">
        <f t="shared" si="35"/>
        <v>83.333333333333329</v>
      </c>
      <c r="T45" s="41">
        <f t="shared" si="35"/>
        <v>83.333333333333329</v>
      </c>
      <c r="U45" s="11">
        <f t="shared" si="19"/>
        <v>1000.0000000000001</v>
      </c>
      <c r="V45" s="11">
        <f t="shared" si="20"/>
        <v>0</v>
      </c>
    </row>
    <row r="46" spans="1:22" ht="13.5" thickBot="1" x14ac:dyDescent="0.3">
      <c r="A46" s="6"/>
      <c r="B46" s="7"/>
      <c r="C46" s="19"/>
      <c r="D46" s="20"/>
      <c r="E46" s="21"/>
      <c r="F46" s="21"/>
      <c r="G46" s="22"/>
      <c r="H46" s="38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42"/>
      <c r="U46" s="43"/>
      <c r="V46" s="19"/>
    </row>
    <row r="47" spans="1:22" ht="13.5" thickBot="1" x14ac:dyDescent="0.3">
      <c r="A47" s="66" t="s">
        <v>26</v>
      </c>
      <c r="B47" s="67"/>
      <c r="C47" s="23">
        <f t="shared" ref="C47:V47" si="36">SUM(C22:C46)</f>
        <v>129053000</v>
      </c>
      <c r="D47" s="24">
        <f t="shared" si="36"/>
        <v>0</v>
      </c>
      <c r="E47" s="25">
        <f t="shared" si="36"/>
        <v>0</v>
      </c>
      <c r="F47" s="25">
        <f t="shared" si="36"/>
        <v>0</v>
      </c>
      <c r="G47" s="26">
        <f t="shared" si="36"/>
        <v>0</v>
      </c>
      <c r="H47" s="23">
        <f t="shared" si="36"/>
        <v>129053000</v>
      </c>
      <c r="I47" s="35">
        <f t="shared" si="36"/>
        <v>208416.66666666666</v>
      </c>
      <c r="J47" s="36">
        <f t="shared" si="36"/>
        <v>9696343.9393939413</v>
      </c>
      <c r="K47" s="36">
        <f t="shared" si="36"/>
        <v>9596343.9393939413</v>
      </c>
      <c r="L47" s="36">
        <f t="shared" si="36"/>
        <v>9596343.9393939413</v>
      </c>
      <c r="M47" s="36">
        <f t="shared" si="36"/>
        <v>9596343.9393939413</v>
      </c>
      <c r="N47" s="36">
        <f t="shared" si="36"/>
        <v>9596343.9393939413</v>
      </c>
      <c r="O47" s="36">
        <f t="shared" si="36"/>
        <v>15996343.939393941</v>
      </c>
      <c r="P47" s="36">
        <f t="shared" si="36"/>
        <v>15996343.939393941</v>
      </c>
      <c r="Q47" s="36">
        <f t="shared" si="36"/>
        <v>15996343.939393941</v>
      </c>
      <c r="R47" s="36">
        <f t="shared" si="36"/>
        <v>15996343.939393941</v>
      </c>
      <c r="S47" s="36">
        <f t="shared" si="36"/>
        <v>15996343.939393941</v>
      </c>
      <c r="T47" s="37">
        <f t="shared" si="36"/>
        <v>781143.93939393933</v>
      </c>
      <c r="U47" s="23">
        <f t="shared" si="36"/>
        <v>129053000</v>
      </c>
      <c r="V47" s="23">
        <f t="shared" si="36"/>
        <v>0</v>
      </c>
    </row>
    <row r="51" spans="1:2" ht="24" x14ac:dyDescent="0.25">
      <c r="B51" s="103" t="s">
        <v>120</v>
      </c>
    </row>
    <row r="52" spans="1:2" x14ac:dyDescent="0.25">
      <c r="B52" s="101"/>
    </row>
    <row r="54" spans="1:2" x14ac:dyDescent="0.25">
      <c r="A54" s="102" t="s">
        <v>118</v>
      </c>
      <c r="B54" s="102" t="s">
        <v>119</v>
      </c>
    </row>
  </sheetData>
  <mergeCells count="67">
    <mergeCell ref="U6:U7"/>
    <mergeCell ref="R6:R7"/>
    <mergeCell ref="A1:V1"/>
    <mergeCell ref="A2:V2"/>
    <mergeCell ref="A3:V3"/>
    <mergeCell ref="A5:V5"/>
    <mergeCell ref="A6:A7"/>
    <mergeCell ref="B6:B7"/>
    <mergeCell ref="C6:C7"/>
    <mergeCell ref="D6:G6"/>
    <mergeCell ref="F7:G7"/>
    <mergeCell ref="H6:H7"/>
    <mergeCell ref="D7:E7"/>
    <mergeCell ref="I6:I7"/>
    <mergeCell ref="J6:J7"/>
    <mergeCell ref="K6:K7"/>
    <mergeCell ref="L6:L7"/>
    <mergeCell ref="H20:H21"/>
    <mergeCell ref="V6:V7"/>
    <mergeCell ref="A17:B17"/>
    <mergeCell ref="A19:V19"/>
    <mergeCell ref="S6:S7"/>
    <mergeCell ref="T6:T7"/>
    <mergeCell ref="N6:N7"/>
    <mergeCell ref="D16:E16"/>
    <mergeCell ref="D17:E17"/>
    <mergeCell ref="F8:G8"/>
    <mergeCell ref="F9:G9"/>
    <mergeCell ref="F10:G10"/>
    <mergeCell ref="F11:G11"/>
    <mergeCell ref="F12:G12"/>
    <mergeCell ref="F16:G16"/>
    <mergeCell ref="D20:G20"/>
    <mergeCell ref="I20:I21"/>
    <mergeCell ref="F17:G17"/>
    <mergeCell ref="D8:E8"/>
    <mergeCell ref="D9:E9"/>
    <mergeCell ref="D10:E10"/>
    <mergeCell ref="D11:E11"/>
    <mergeCell ref="D12:E12"/>
    <mergeCell ref="D13:E13"/>
    <mergeCell ref="F13:G13"/>
    <mergeCell ref="D14:E14"/>
    <mergeCell ref="F14:G14"/>
    <mergeCell ref="D15:E15"/>
    <mergeCell ref="F15:G15"/>
    <mergeCell ref="O6:O7"/>
    <mergeCell ref="P6:P7"/>
    <mergeCell ref="N20:N21"/>
    <mergeCell ref="M6:M7"/>
    <mergeCell ref="Q6:Q7"/>
    <mergeCell ref="V20:V21"/>
    <mergeCell ref="A47:B47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O20:O21"/>
    <mergeCell ref="A20:A21"/>
    <mergeCell ref="B20:B21"/>
    <mergeCell ref="C20:C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45" orientation="landscape" r:id="rId1"/>
  <headerFooter>
    <oddFooter>&amp;L&amp;F&amp;C&amp;A&amp;R&amp;P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46" zoomScale="97" zoomScaleNormal="97" workbookViewId="0">
      <selection activeCell="B65" sqref="A61:B65"/>
    </sheetView>
  </sheetViews>
  <sheetFormatPr baseColWidth="10" defaultColWidth="11.42578125" defaultRowHeight="12.75" x14ac:dyDescent="0.25"/>
  <cols>
    <col min="1" max="1" width="18.140625" style="1" customWidth="1"/>
    <col min="2" max="2" width="33.5703125" style="1" customWidth="1"/>
    <col min="3" max="3" width="15.85546875" style="1" customWidth="1"/>
    <col min="4" max="4" width="10.7109375" style="1" customWidth="1"/>
    <col min="5" max="7" width="3.7109375" style="1" customWidth="1"/>
    <col min="8" max="8" width="15.28515625" style="1" customWidth="1"/>
    <col min="9" max="9" width="11.85546875" style="1" customWidth="1"/>
    <col min="10" max="10" width="10.85546875" style="1" customWidth="1"/>
    <col min="11" max="11" width="11.7109375" style="1" customWidth="1"/>
    <col min="12" max="12" width="9.7109375" style="1" customWidth="1"/>
    <col min="13" max="16" width="10.7109375" style="1" customWidth="1"/>
    <col min="17" max="17" width="14.140625" style="1" customWidth="1"/>
    <col min="18" max="19" width="10.7109375" style="1" customWidth="1"/>
    <col min="20" max="20" width="9.85546875" style="1" customWidth="1"/>
    <col min="21" max="21" width="13.140625" style="1" customWidth="1"/>
    <col min="22" max="22" width="12.5703125" style="1" customWidth="1"/>
    <col min="23" max="23" width="11.5703125" style="1" bestFit="1" customWidth="1"/>
    <col min="24" max="16384" width="11.42578125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47">
        <v>234000</v>
      </c>
      <c r="Q8" s="47">
        <v>368000</v>
      </c>
      <c r="R8" s="29">
        <f>558000/3</f>
        <v>186000</v>
      </c>
      <c r="S8" s="29">
        <f t="shared" ref="S8:T8" si="0">558000/3</f>
        <v>186000</v>
      </c>
      <c r="T8" s="29">
        <f t="shared" si="0"/>
        <v>186000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48">
        <v>1100000</v>
      </c>
      <c r="Q9" s="48"/>
      <c r="R9" s="17">
        <f>429000/2</f>
        <v>214500</v>
      </c>
      <c r="S9" s="17">
        <f t="shared" ref="S9" si="2">429000/2</f>
        <v>214500</v>
      </c>
      <c r="T9" s="17"/>
      <c r="U9" s="15">
        <f t="shared" ref="U9:U19" si="3">SUM(I9:T9)</f>
        <v>5500000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48"/>
      <c r="N10" s="48"/>
      <c r="O10" s="48"/>
      <c r="P10" s="48"/>
      <c r="Q10" s="48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48"/>
      <c r="N11" s="48"/>
      <c r="O11" s="48"/>
      <c r="P11" s="48"/>
      <c r="Q11" s="48"/>
      <c r="R11" s="17"/>
      <c r="S11" s="17"/>
      <c r="T11" s="18"/>
      <c r="U11" s="15">
        <f>SUM(I11:T11)</f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48"/>
      <c r="N12" s="48"/>
      <c r="O12" s="48"/>
      <c r="P12" s="48"/>
      <c r="Q12" s="48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48"/>
      <c r="N13" s="48"/>
      <c r="O13" s="48"/>
      <c r="P13" s="48">
        <v>31780000</v>
      </c>
      <c r="Q13" s="48"/>
      <c r="R13" s="17">
        <v>220000</v>
      </c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48">
        <v>1285.6099999999999</v>
      </c>
      <c r="Q14" s="48">
        <v>1102.22</v>
      </c>
      <c r="R14" s="17">
        <f>41725/3</f>
        <v>13908.333333333334</v>
      </c>
      <c r="S14" s="17">
        <f t="shared" ref="S14:T14" si="5">41725/3</f>
        <v>13908.333333333334</v>
      </c>
      <c r="T14" s="17">
        <f t="shared" si="5"/>
        <v>13908.333333333334</v>
      </c>
      <c r="U14" s="15">
        <f t="shared" si="3"/>
        <v>50000.490000000005</v>
      </c>
      <c r="V14" s="15">
        <f t="shared" si="4"/>
        <v>-0.49000000000523869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48"/>
      <c r="N15" s="48"/>
      <c r="O15" s="48"/>
      <c r="P15" s="48"/>
      <c r="Q15" s="48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49"/>
      <c r="N16" s="49"/>
      <c r="O16" s="49"/>
      <c r="P16" s="49"/>
      <c r="Q16" s="49"/>
      <c r="R16" s="21">
        <v>1000</v>
      </c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49"/>
      <c r="N17" s="49"/>
      <c r="O17" s="49"/>
      <c r="P17" s="49"/>
      <c r="Q17" s="49"/>
      <c r="R17" s="21">
        <v>1000</v>
      </c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49"/>
      <c r="N18" s="49"/>
      <c r="O18" s="49"/>
      <c r="P18" s="49"/>
      <c r="Q18" s="49"/>
      <c r="R18" s="21">
        <v>1000</v>
      </c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752423.22</v>
      </c>
      <c r="N20" s="36">
        <f t="shared" si="6"/>
        <v>46338.19</v>
      </c>
      <c r="O20" s="36">
        <f t="shared" si="6"/>
        <v>172336.23</v>
      </c>
      <c r="P20" s="36">
        <f t="shared" si="6"/>
        <v>33115285.609999999</v>
      </c>
      <c r="Q20" s="36">
        <f t="shared" si="6"/>
        <v>369102.22</v>
      </c>
      <c r="R20" s="36">
        <f t="shared" si="6"/>
        <v>637408.33333333337</v>
      </c>
      <c r="S20" s="36">
        <f t="shared" si="6"/>
        <v>414408.33333333331</v>
      </c>
      <c r="T20" s="37">
        <f t="shared" si="6"/>
        <v>199908.33333333334</v>
      </c>
      <c r="U20" s="23">
        <f t="shared" si="6"/>
        <v>211053928.49000001</v>
      </c>
      <c r="V20" s="23">
        <f t="shared" si="6"/>
        <v>-4000000.49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51"/>
      <c r="O25" s="51"/>
      <c r="P25" s="51"/>
      <c r="Q25" s="51"/>
      <c r="R25" s="13">
        <f>4800000/2</f>
        <v>2400000</v>
      </c>
      <c r="S25" s="13">
        <f t="shared" ref="S25" si="7">4800000/2</f>
        <v>2400000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51"/>
      <c r="O26" s="51"/>
      <c r="P26" s="51"/>
      <c r="Q26" s="51"/>
      <c r="R26" s="13">
        <f>18000000/2</f>
        <v>9000000</v>
      </c>
      <c r="S26" s="13">
        <f t="shared" ref="S26" si="8">18000000/2</f>
        <v>9000000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48"/>
      <c r="N27" s="48"/>
      <c r="O27" s="48"/>
      <c r="P27" s="48"/>
      <c r="Q27" s="48"/>
      <c r="R27" s="17">
        <f>8600000/2</f>
        <v>4300000</v>
      </c>
      <c r="S27" s="17">
        <f t="shared" ref="S27" si="10">8600000/2</f>
        <v>4300000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9"/>
        <v>15000000</v>
      </c>
      <c r="I28" s="45"/>
      <c r="J28" s="48"/>
      <c r="K28" s="48"/>
      <c r="L28" s="48"/>
      <c r="M28" s="48"/>
      <c r="N28" s="48"/>
      <c r="O28" s="48"/>
      <c r="P28" s="48"/>
      <c r="Q28" s="48"/>
      <c r="R28" s="17">
        <f>15000000/2</f>
        <v>7500000</v>
      </c>
      <c r="S28" s="17">
        <f t="shared" ref="S28" si="13">15000000/2</f>
        <v>7500000</v>
      </c>
      <c r="T28" s="41"/>
      <c r="U28" s="15">
        <f t="shared" si="11"/>
        <v>15000000</v>
      </c>
      <c r="V28" s="53">
        <f t="shared" si="12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48"/>
      <c r="N29" s="48"/>
      <c r="O29" s="48"/>
      <c r="P29" s="48"/>
      <c r="Q29" s="48"/>
      <c r="R29" s="17">
        <f>12500000/2</f>
        <v>6250000</v>
      </c>
      <c r="S29" s="17">
        <f t="shared" ref="S29" si="14">12500000/2</f>
        <v>6250000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48"/>
      <c r="N30" s="48"/>
      <c r="O30" s="48"/>
      <c r="P30" s="48"/>
      <c r="Q30" s="48"/>
      <c r="R30" s="17">
        <f>12000000/2</f>
        <v>6000000</v>
      </c>
      <c r="S30" s="17">
        <f t="shared" ref="S30" si="15">12000000/2</f>
        <v>6000000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48"/>
      <c r="N31" s="48"/>
      <c r="O31" s="48"/>
      <c r="P31" s="48"/>
      <c r="Q31" s="48"/>
      <c r="R31" s="17">
        <f>1000/2</f>
        <v>500</v>
      </c>
      <c r="S31" s="17">
        <f t="shared" ref="S31" si="16">1000/2</f>
        <v>500</v>
      </c>
      <c r="T31" s="41"/>
      <c r="U31" s="15">
        <f t="shared" si="11"/>
        <v>1000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48"/>
      <c r="N32" s="48"/>
      <c r="O32" s="48"/>
      <c r="P32" s="48"/>
      <c r="Q32" s="48"/>
      <c r="R32" s="17">
        <f>50000/2</f>
        <v>25000</v>
      </c>
      <c r="S32" s="17">
        <f t="shared" ref="S32" si="17">50000/2</f>
        <v>25000</v>
      </c>
      <c r="T32" s="41"/>
      <c r="U32" s="15">
        <f t="shared" si="11"/>
        <v>50000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9"/>
        <v>10629373</v>
      </c>
      <c r="I33" s="45"/>
      <c r="J33" s="48"/>
      <c r="K33" s="48"/>
      <c r="L33" s="48"/>
      <c r="M33" s="48"/>
      <c r="N33" s="48"/>
      <c r="O33" s="48"/>
      <c r="P33" s="48">
        <v>10059000</v>
      </c>
      <c r="Q33" s="48"/>
      <c r="R33" s="17">
        <f>570373/2</f>
        <v>285186.5</v>
      </c>
      <c r="S33" s="17">
        <f t="shared" ref="S33" si="18">570373/2</f>
        <v>285186.5</v>
      </c>
      <c r="T33" s="41"/>
      <c r="U33" s="15">
        <f t="shared" si="11"/>
        <v>10629373</v>
      </c>
      <c r="V33" s="53">
        <f t="shared" si="12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9"/>
        <v>5348956</v>
      </c>
      <c r="I34" s="45"/>
      <c r="J34" s="48"/>
      <c r="K34" s="48"/>
      <c r="L34" s="48"/>
      <c r="M34" s="48"/>
      <c r="N34" s="48"/>
      <c r="O34" s="48"/>
      <c r="P34" s="48"/>
      <c r="Q34" s="48"/>
      <c r="R34" s="17">
        <f>5348956/2</f>
        <v>2674478</v>
      </c>
      <c r="S34" s="17">
        <f t="shared" ref="S34" si="19">5348956/2</f>
        <v>2674478</v>
      </c>
      <c r="T34" s="41"/>
      <c r="U34" s="15">
        <f t="shared" si="11"/>
        <v>5348956</v>
      </c>
      <c r="V34" s="53">
        <f t="shared" si="12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48"/>
      <c r="N35" s="48"/>
      <c r="O35" s="48"/>
      <c r="P35" s="48"/>
      <c r="Q35" s="48"/>
      <c r="R35" s="17">
        <f>21638005/2</f>
        <v>10819002.5</v>
      </c>
      <c r="S35" s="17">
        <f t="shared" ref="S35" si="20">21638005/2</f>
        <v>10819002.5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48"/>
      <c r="N36" s="48"/>
      <c r="O36" s="48"/>
      <c r="P36" s="48"/>
      <c r="Q36" s="48"/>
      <c r="R36" s="17">
        <f>6600000/2</f>
        <v>3300000</v>
      </c>
      <c r="S36" s="17">
        <f t="shared" ref="S36" si="21">6600000/2</f>
        <v>3300000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48"/>
      <c r="N37" s="48"/>
      <c r="O37" s="48"/>
      <c r="P37" s="48"/>
      <c r="Q37" s="48"/>
      <c r="R37" s="17">
        <f>3700000/2</f>
        <v>1850000</v>
      </c>
      <c r="S37" s="17">
        <f t="shared" ref="S37" si="22">3700000/2</f>
        <v>1850000</v>
      </c>
      <c r="T37" s="41"/>
      <c r="U37" s="15">
        <f t="shared" si="11"/>
        <v>3700000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48"/>
      <c r="N38" s="48">
        <v>4070000</v>
      </c>
      <c r="O38" s="48"/>
      <c r="P38" s="48"/>
      <c r="Q38" s="48"/>
      <c r="R38" s="17">
        <f>41271/2</f>
        <v>20635.5</v>
      </c>
      <c r="S38" s="17">
        <f t="shared" ref="S38" si="23">41271/2</f>
        <v>20635.5</v>
      </c>
      <c r="T38" s="41"/>
      <c r="U38" s="15">
        <f t="shared" si="11"/>
        <v>4111271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9"/>
        <v>5000000</v>
      </c>
      <c r="I39" s="45"/>
      <c r="J39" s="48"/>
      <c r="K39" s="48"/>
      <c r="L39" s="48"/>
      <c r="M39" s="48"/>
      <c r="N39" s="48"/>
      <c r="O39" s="48"/>
      <c r="P39" s="48"/>
      <c r="Q39" s="48"/>
      <c r="R39" s="17">
        <f>5000000/2</f>
        <v>2500000</v>
      </c>
      <c r="S39" s="17">
        <f t="shared" ref="S39" si="24">5000000/2</f>
        <v>2500000</v>
      </c>
      <c r="T39" s="17"/>
      <c r="U39" s="15">
        <f t="shared" si="11"/>
        <v>5000000</v>
      </c>
      <c r="V39" s="53">
        <f t="shared" si="12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48"/>
      <c r="O40" s="48">
        <v>93000</v>
      </c>
      <c r="P40" s="48">
        <v>125069</v>
      </c>
      <c r="Q40" s="48">
        <v>96747</v>
      </c>
      <c r="R40" s="17">
        <f>594825/3</f>
        <v>198275</v>
      </c>
      <c r="S40" s="17">
        <f t="shared" ref="S40:T40" si="25">594825/3</f>
        <v>198275</v>
      </c>
      <c r="T40" s="17">
        <f t="shared" si="25"/>
        <v>198275</v>
      </c>
      <c r="U40" s="15">
        <f t="shared" si="11"/>
        <v>1499999.53</v>
      </c>
      <c r="V40" s="53">
        <f t="shared" si="12"/>
        <v>0.46999999997206032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48">
        <v>96747</v>
      </c>
      <c r="N41" s="48">
        <v>104839</v>
      </c>
      <c r="O41" s="48">
        <v>3747</v>
      </c>
      <c r="P41" s="48"/>
      <c r="Q41" s="48"/>
      <c r="R41" s="17">
        <f>89401/3</f>
        <v>29800.333333333332</v>
      </c>
      <c r="S41" s="17">
        <f t="shared" ref="S41:T41" si="26">89401/3</f>
        <v>29800.333333333332</v>
      </c>
      <c r="T41" s="17">
        <f t="shared" si="26"/>
        <v>29800.333333333332</v>
      </c>
      <c r="U41" s="15">
        <f t="shared" si="11"/>
        <v>314964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48"/>
      <c r="N42" s="48"/>
      <c r="O42" s="48">
        <v>4413546</v>
      </c>
      <c r="P42" s="48"/>
      <c r="Q42" s="48"/>
      <c r="R42" s="17">
        <f>1086454/2</f>
        <v>543227</v>
      </c>
      <c r="S42" s="17">
        <f t="shared" ref="S42" si="27">1086454/2</f>
        <v>543227</v>
      </c>
      <c r="T42" s="41"/>
      <c r="U42" s="15">
        <f t="shared" si="11"/>
        <v>5500000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48">
        <v>4800000</v>
      </c>
      <c r="N43" s="48"/>
      <c r="O43" s="48"/>
      <c r="P43" s="48">
        <v>2400000</v>
      </c>
      <c r="Q43" s="48">
        <v>4800000</v>
      </c>
      <c r="R43" s="17">
        <v>8500000</v>
      </c>
      <c r="S43" s="17">
        <v>8500000</v>
      </c>
      <c r="T43" s="41"/>
      <c r="U43" s="15">
        <f t="shared" si="11"/>
        <v>29000000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48"/>
      <c r="N44" s="48"/>
      <c r="O44" s="48"/>
      <c r="P44" s="48"/>
      <c r="Q44" s="48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48"/>
      <c r="N45" s="48"/>
      <c r="O45" s="48"/>
      <c r="P45" s="48"/>
      <c r="Q45" s="48"/>
      <c r="R45" s="17">
        <f>1900000/2</f>
        <v>950000</v>
      </c>
      <c r="S45" s="17">
        <f t="shared" ref="S45" si="28">1900000/2</f>
        <v>950000</v>
      </c>
      <c r="T45" s="41"/>
      <c r="U45" s="15">
        <f t="shared" si="11"/>
        <v>1900000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48"/>
      <c r="N46" s="48"/>
      <c r="O46" s="48">
        <v>3200000</v>
      </c>
      <c r="P46" s="48"/>
      <c r="Q46" s="48">
        <v>1425000</v>
      </c>
      <c r="R46" s="17">
        <f>11375000/2</f>
        <v>5687500</v>
      </c>
      <c r="S46" s="17">
        <f t="shared" ref="S46" si="29">11375000/2</f>
        <v>5687500</v>
      </c>
      <c r="T46" s="17"/>
      <c r="U46" s="15">
        <f t="shared" si="11"/>
        <v>16000000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48"/>
      <c r="N47" s="48"/>
      <c r="O47" s="48">
        <v>2153500</v>
      </c>
      <c r="P47" s="48"/>
      <c r="Q47" s="48"/>
      <c r="R47" s="17">
        <f>4446500/2</f>
        <v>2223250</v>
      </c>
      <c r="S47" s="17">
        <f t="shared" ref="S47" si="30">4446500/2</f>
        <v>2223250</v>
      </c>
      <c r="T47" s="41"/>
      <c r="U47" s="15">
        <f t="shared" si="11"/>
        <v>6600000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48"/>
      <c r="N48" s="48"/>
      <c r="O48" s="48"/>
      <c r="P48" s="48"/>
      <c r="Q48" s="48"/>
      <c r="R48" s="17">
        <f>2800000/2</f>
        <v>1400000</v>
      </c>
      <c r="S48" s="17">
        <f t="shared" ref="S48" si="31">2800000/2</f>
        <v>1400000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48">
        <v>7612</v>
      </c>
      <c r="N49" s="48"/>
      <c r="O49" s="48"/>
      <c r="P49" s="48">
        <v>422959</v>
      </c>
      <c r="Q49" s="48">
        <v>420734</v>
      </c>
      <c r="R49" s="17">
        <f>2848695/3</f>
        <v>949565</v>
      </c>
      <c r="S49" s="17">
        <f t="shared" ref="S49:T49" si="32">2848695/3</f>
        <v>949565</v>
      </c>
      <c r="T49" s="17">
        <f t="shared" si="32"/>
        <v>949565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48">
        <v>327969</v>
      </c>
      <c r="O50" s="48">
        <v>235029</v>
      </c>
      <c r="P50" s="48"/>
      <c r="Q50" s="48"/>
      <c r="R50" s="17">
        <f>1886875/3</f>
        <v>628958.33333333337</v>
      </c>
      <c r="S50" s="17">
        <f t="shared" ref="S50:T50" si="33">1886875/3</f>
        <v>628958.33333333337</v>
      </c>
      <c r="T50" s="17">
        <f t="shared" si="33"/>
        <v>628958.33333333337</v>
      </c>
      <c r="U50" s="15">
        <f t="shared" si="11"/>
        <v>3700000.0000000005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48"/>
      <c r="N51" s="48"/>
      <c r="O51" s="48">
        <v>300000</v>
      </c>
      <c r="P51" s="48"/>
      <c r="Q51" s="48"/>
      <c r="R51" s="17"/>
      <c r="S51" s="17"/>
      <c r="T51" s="17"/>
      <c r="U51" s="15">
        <f t="shared" si="11"/>
        <v>300000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48">
        <v>529317</v>
      </c>
      <c r="N52" s="48"/>
      <c r="O52" s="48">
        <v>23582</v>
      </c>
      <c r="P52" s="48"/>
      <c r="Q52" s="48"/>
      <c r="R52" s="17">
        <f>1/3</f>
        <v>0.33333333333333331</v>
      </c>
      <c r="S52" s="17">
        <f t="shared" ref="S52:T52" si="34">1/3</f>
        <v>0.33333333333333331</v>
      </c>
      <c r="T52" s="17">
        <f t="shared" si="34"/>
        <v>0.33333333333333331</v>
      </c>
      <c r="U52" s="15">
        <f t="shared" si="11"/>
        <v>959359.00000000012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9"/>
        <v>2000000</v>
      </c>
      <c r="I53" s="45"/>
      <c r="J53" s="48"/>
      <c r="K53" s="48"/>
      <c r="L53" s="48"/>
      <c r="M53" s="48"/>
      <c r="N53" s="48"/>
      <c r="O53" s="48"/>
      <c r="P53" s="48"/>
      <c r="Q53" s="48"/>
      <c r="R53" s="17">
        <f>2000000/2</f>
        <v>1000000</v>
      </c>
      <c r="S53" s="17">
        <f t="shared" ref="S53" si="35">2000000/2</f>
        <v>1000000</v>
      </c>
      <c r="T53" s="17"/>
      <c r="U53" s="15">
        <f t="shared" si="11"/>
        <v>2000000</v>
      </c>
      <c r="V53" s="53">
        <f t="shared" si="12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48"/>
      <c r="N54" s="48"/>
      <c r="O54" s="48"/>
      <c r="P54" s="48"/>
      <c r="Q54" s="48"/>
      <c r="R54" s="17">
        <f>1000/3</f>
        <v>333.33333333333331</v>
      </c>
      <c r="S54" s="17">
        <f t="shared" ref="S54:T54" si="36">1000/3</f>
        <v>333.33333333333331</v>
      </c>
      <c r="T54" s="17">
        <f t="shared" si="36"/>
        <v>333.33333333333331</v>
      </c>
      <c r="U54" s="11">
        <f t="shared" si="11"/>
        <v>1000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37">SUM(C25:C55)</f>
        <v>129053000</v>
      </c>
      <c r="D56" s="24">
        <f t="shared" si="37"/>
        <v>78000928</v>
      </c>
      <c r="E56" s="25">
        <f t="shared" si="37"/>
        <v>0</v>
      </c>
      <c r="F56" s="25">
        <f t="shared" si="37"/>
        <v>0</v>
      </c>
      <c r="G56" s="26">
        <f t="shared" si="37"/>
        <v>0</v>
      </c>
      <c r="H56" s="23">
        <f t="shared" si="37"/>
        <v>207053928</v>
      </c>
      <c r="I56" s="35">
        <f t="shared" si="37"/>
        <v>726807</v>
      </c>
      <c r="J56" s="36">
        <f t="shared" si="37"/>
        <v>532166</v>
      </c>
      <c r="K56" s="36">
        <f t="shared" si="37"/>
        <v>2997485.53</v>
      </c>
      <c r="L56" s="36">
        <f t="shared" si="37"/>
        <v>2810716</v>
      </c>
      <c r="M56" s="36">
        <f t="shared" si="37"/>
        <v>5433676</v>
      </c>
      <c r="N56" s="36">
        <f t="shared" si="37"/>
        <v>4502808</v>
      </c>
      <c r="O56" s="36">
        <f t="shared" si="37"/>
        <v>10422404</v>
      </c>
      <c r="P56" s="36">
        <f t="shared" si="37"/>
        <v>13007028</v>
      </c>
      <c r="Q56" s="36">
        <f t="shared" si="37"/>
        <v>6742481</v>
      </c>
      <c r="R56" s="36">
        <f t="shared" si="37"/>
        <v>79035711.833333328</v>
      </c>
      <c r="S56" s="36">
        <f t="shared" si="37"/>
        <v>79035711.833333328</v>
      </c>
      <c r="T56" s="57">
        <f t="shared" si="37"/>
        <v>1806932.333333333</v>
      </c>
      <c r="U56" s="23">
        <f t="shared" si="37"/>
        <v>207053927.53</v>
      </c>
      <c r="V56" s="58">
        <f t="shared" si="37"/>
        <v>0.46999999997206032</v>
      </c>
    </row>
    <row r="61" spans="1:22" ht="24" x14ac:dyDescent="0.25">
      <c r="B61" s="103" t="s">
        <v>120</v>
      </c>
    </row>
    <row r="62" spans="1:22" x14ac:dyDescent="0.25">
      <c r="B62" s="101"/>
    </row>
    <row r="64" spans="1:22" x14ac:dyDescent="0.25">
      <c r="A64" s="102" t="s">
        <v>118</v>
      </c>
      <c r="B64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52" zoomScale="97" zoomScaleNormal="97" workbookViewId="0">
      <selection activeCell="B65" sqref="A61:B65"/>
    </sheetView>
  </sheetViews>
  <sheetFormatPr baseColWidth="10" defaultColWidth="31" defaultRowHeight="12.75" x14ac:dyDescent="0.25"/>
  <cols>
    <col min="1" max="1" width="18.28515625" style="1" customWidth="1"/>
    <col min="2" max="2" width="34" style="1" customWidth="1"/>
    <col min="3" max="3" width="22.7109375" style="1" customWidth="1"/>
    <col min="4" max="4" width="13.28515625" style="1" customWidth="1"/>
    <col min="5" max="5" width="2.140625" style="1" hidden="1" customWidth="1"/>
    <col min="6" max="6" width="8.28515625" style="1" customWidth="1"/>
    <col min="7" max="7" width="31" style="1" hidden="1" customWidth="1"/>
    <col min="8" max="8" width="15.7109375" style="1" customWidth="1"/>
    <col min="9" max="9" width="12.28515625" style="1" customWidth="1"/>
    <col min="10" max="10" width="10.28515625" style="1" customWidth="1"/>
    <col min="11" max="11" width="12.42578125" style="1" customWidth="1"/>
    <col min="12" max="12" width="11.85546875" style="1" customWidth="1"/>
    <col min="13" max="13" width="10.7109375" style="1" customWidth="1"/>
    <col min="14" max="14" width="10.85546875" style="1" customWidth="1"/>
    <col min="15" max="15" width="11.28515625" style="1" customWidth="1"/>
    <col min="16" max="16" width="10.7109375" style="1" customWidth="1"/>
    <col min="17" max="17" width="13.42578125" style="1" customWidth="1"/>
    <col min="18" max="18" width="10.28515625" style="1" customWidth="1"/>
    <col min="19" max="19" width="12.42578125" style="1" customWidth="1"/>
    <col min="20" max="20" width="12" style="1" customWidth="1"/>
    <col min="21" max="21" width="12.5703125" style="1" customWidth="1"/>
    <col min="22" max="22" width="12.140625" style="1" customWidth="1"/>
    <col min="23" max="16384" width="31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47">
        <v>234000</v>
      </c>
      <c r="Q8" s="47">
        <v>368000</v>
      </c>
      <c r="R8" s="47">
        <v>124000</v>
      </c>
      <c r="S8" s="29">
        <v>217000</v>
      </c>
      <c r="T8" s="29">
        <v>217000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0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48">
        <v>1100000</v>
      </c>
      <c r="Q9" s="48"/>
      <c r="R9" s="48"/>
      <c r="S9" s="17">
        <f>429000/2</f>
        <v>214500</v>
      </c>
      <c r="T9" s="17">
        <v>214500</v>
      </c>
      <c r="U9" s="15">
        <f t="shared" ref="U9:U19" si="1">SUM(I9:T9)</f>
        <v>5500000</v>
      </c>
      <c r="V9" s="15">
        <f t="shared" ref="V9:V19" si="2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0"/>
        <v>90238005</v>
      </c>
      <c r="I10" s="45"/>
      <c r="J10" s="48"/>
      <c r="K10" s="48">
        <v>90238005</v>
      </c>
      <c r="L10" s="48"/>
      <c r="M10" s="48"/>
      <c r="N10" s="48"/>
      <c r="O10" s="48"/>
      <c r="P10" s="48"/>
      <c r="Q10" s="48"/>
      <c r="R10" s="48"/>
      <c r="S10" s="17"/>
      <c r="T10" s="18"/>
      <c r="U10" s="15">
        <f t="shared" si="1"/>
        <v>90238005</v>
      </c>
      <c r="V10" s="15">
        <f t="shared" si="2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0"/>
        <v>30629373</v>
      </c>
      <c r="I11" s="45"/>
      <c r="J11" s="48"/>
      <c r="K11" s="48">
        <v>30629373</v>
      </c>
      <c r="L11" s="48"/>
      <c r="M11" s="48"/>
      <c r="N11" s="48"/>
      <c r="O11" s="48"/>
      <c r="P11" s="48"/>
      <c r="Q11" s="48"/>
      <c r="R11" s="48"/>
      <c r="S11" s="17"/>
      <c r="T11" s="18"/>
      <c r="U11" s="15">
        <f>SUM(I11:T11)</f>
        <v>30629373</v>
      </c>
      <c r="V11" s="15">
        <f t="shared" si="2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0"/>
        <v>25348956</v>
      </c>
      <c r="I12" s="45"/>
      <c r="J12" s="48"/>
      <c r="K12" s="48">
        <v>25348956</v>
      </c>
      <c r="L12" s="48"/>
      <c r="M12" s="48"/>
      <c r="N12" s="48"/>
      <c r="O12" s="48"/>
      <c r="P12" s="48"/>
      <c r="Q12" s="48"/>
      <c r="R12" s="48"/>
      <c r="S12" s="17"/>
      <c r="T12" s="18"/>
      <c r="U12" s="15">
        <f t="shared" si="1"/>
        <v>25348956</v>
      </c>
      <c r="V12" s="15">
        <f t="shared" si="2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0"/>
        <v>32000000</v>
      </c>
      <c r="I13" s="45"/>
      <c r="J13" s="48"/>
      <c r="K13" s="48"/>
      <c r="L13" s="48"/>
      <c r="M13" s="48"/>
      <c r="N13" s="48"/>
      <c r="O13" s="48"/>
      <c r="P13" s="48">
        <v>31780000</v>
      </c>
      <c r="Q13" s="48"/>
      <c r="R13" s="48"/>
      <c r="S13" s="17">
        <v>220000</v>
      </c>
      <c r="T13" s="18"/>
      <c r="U13" s="15">
        <f t="shared" si="1"/>
        <v>32000000</v>
      </c>
      <c r="V13" s="15">
        <f t="shared" si="2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0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48">
        <v>1285.6099999999999</v>
      </c>
      <c r="Q14" s="48">
        <v>1102.22</v>
      </c>
      <c r="R14" s="48">
        <v>1129</v>
      </c>
      <c r="S14" s="17">
        <f>40596/2</f>
        <v>20298</v>
      </c>
      <c r="T14" s="17">
        <f>40596/2</f>
        <v>20298</v>
      </c>
      <c r="U14" s="15">
        <f t="shared" si="1"/>
        <v>50000.49</v>
      </c>
      <c r="V14" s="15">
        <f t="shared" si="2"/>
        <v>-0.48999999999796273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0"/>
        <v>0</v>
      </c>
      <c r="I15" s="45"/>
      <c r="J15" s="48"/>
      <c r="K15" s="48">
        <v>4000000</v>
      </c>
      <c r="L15" s="48"/>
      <c r="M15" s="48"/>
      <c r="N15" s="48"/>
      <c r="O15" s="48"/>
      <c r="P15" s="48"/>
      <c r="Q15" s="48"/>
      <c r="R15" s="48"/>
      <c r="S15" s="17"/>
      <c r="T15" s="17"/>
      <c r="U15" s="15">
        <f t="shared" si="1"/>
        <v>4000000</v>
      </c>
      <c r="V15" s="15">
        <f t="shared" si="2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0"/>
        <v>4315964</v>
      </c>
      <c r="I16" s="46">
        <v>4314964</v>
      </c>
      <c r="J16" s="49"/>
      <c r="K16" s="49"/>
      <c r="L16" s="49"/>
      <c r="M16" s="49"/>
      <c r="N16" s="49"/>
      <c r="O16" s="49"/>
      <c r="P16" s="49"/>
      <c r="Q16" s="49"/>
      <c r="R16" s="49"/>
      <c r="S16" s="21">
        <v>1000</v>
      </c>
      <c r="T16" s="22"/>
      <c r="U16" s="15">
        <f t="shared" si="1"/>
        <v>4315964</v>
      </c>
      <c r="V16" s="15">
        <f t="shared" si="2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0"/>
        <v>5760359</v>
      </c>
      <c r="I17" s="46">
        <v>5759359</v>
      </c>
      <c r="J17" s="49"/>
      <c r="K17" s="49"/>
      <c r="L17" s="49"/>
      <c r="M17" s="49"/>
      <c r="N17" s="49"/>
      <c r="O17" s="49"/>
      <c r="P17" s="49"/>
      <c r="Q17" s="49"/>
      <c r="R17" s="49"/>
      <c r="S17" s="21">
        <v>1000</v>
      </c>
      <c r="T17" s="22"/>
      <c r="U17" s="15">
        <f t="shared" si="1"/>
        <v>5760359</v>
      </c>
      <c r="V17" s="15">
        <f t="shared" si="2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0"/>
        <v>10711271</v>
      </c>
      <c r="I18" s="46">
        <v>10710271</v>
      </c>
      <c r="J18" s="49"/>
      <c r="K18" s="49"/>
      <c r="L18" s="49"/>
      <c r="M18" s="49"/>
      <c r="N18" s="49"/>
      <c r="O18" s="49"/>
      <c r="P18" s="49"/>
      <c r="Q18" s="49"/>
      <c r="R18" s="49"/>
      <c r="S18" s="21">
        <v>1000</v>
      </c>
      <c r="T18" s="22"/>
      <c r="U18" s="15">
        <f t="shared" si="1"/>
        <v>10711271</v>
      </c>
      <c r="V18" s="15">
        <f t="shared" si="2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0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1"/>
        <v>0</v>
      </c>
      <c r="V19" s="15">
        <f t="shared" si="2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3">SUM(H8:H19)</f>
        <v>207053928</v>
      </c>
      <c r="I20" s="35">
        <f t="shared" si="3"/>
        <v>23164791.399999999</v>
      </c>
      <c r="J20" s="36">
        <f t="shared" si="3"/>
        <v>442081.21</v>
      </c>
      <c r="K20" s="36">
        <f t="shared" si="3"/>
        <v>150981458.21000001</v>
      </c>
      <c r="L20" s="36">
        <f t="shared" si="3"/>
        <v>758387.19999999995</v>
      </c>
      <c r="M20" s="36">
        <f t="shared" si="3"/>
        <v>752423.22</v>
      </c>
      <c r="N20" s="36">
        <f t="shared" si="3"/>
        <v>46338.19</v>
      </c>
      <c r="O20" s="36">
        <f t="shared" si="3"/>
        <v>172336.23</v>
      </c>
      <c r="P20" s="36">
        <f t="shared" si="3"/>
        <v>33115285.609999999</v>
      </c>
      <c r="Q20" s="36">
        <f t="shared" si="3"/>
        <v>369102.22</v>
      </c>
      <c r="R20" s="36">
        <f t="shared" si="3"/>
        <v>125129</v>
      </c>
      <c r="S20" s="36">
        <f t="shared" si="3"/>
        <v>674798</v>
      </c>
      <c r="T20" s="37">
        <f t="shared" si="3"/>
        <v>451798</v>
      </c>
      <c r="U20" s="23">
        <f t="shared" si="3"/>
        <v>211053928.49000001</v>
      </c>
      <c r="V20" s="23">
        <f t="shared" si="3"/>
        <v>-4000000.49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13">
        <v>4800000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51"/>
      <c r="O26" s="51"/>
      <c r="P26" s="51"/>
      <c r="Q26" s="51"/>
      <c r="R26" s="51"/>
      <c r="S26" s="13">
        <v>18000000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4">C27+D27-E27+F27-G27</f>
        <v>8600000</v>
      </c>
      <c r="I27" s="45"/>
      <c r="J27" s="48"/>
      <c r="K27" s="48"/>
      <c r="L27" s="48"/>
      <c r="M27" s="48"/>
      <c r="N27" s="48"/>
      <c r="O27" s="48"/>
      <c r="P27" s="48"/>
      <c r="Q27" s="48"/>
      <c r="R27" s="48"/>
      <c r="S27" s="17">
        <v>8600000</v>
      </c>
      <c r="T27" s="41"/>
      <c r="U27" s="15">
        <f t="shared" ref="U27:U54" si="5">SUM(I27:T27)</f>
        <v>8600000</v>
      </c>
      <c r="V27" s="53">
        <f t="shared" ref="V27:V54" si="6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4"/>
        <v>15000000</v>
      </c>
      <c r="I28" s="45"/>
      <c r="J28" s="48"/>
      <c r="K28" s="48"/>
      <c r="L28" s="48"/>
      <c r="M28" s="48"/>
      <c r="N28" s="48"/>
      <c r="O28" s="48"/>
      <c r="P28" s="48"/>
      <c r="Q28" s="48"/>
      <c r="R28" s="48"/>
      <c r="S28" s="17">
        <v>15000000</v>
      </c>
      <c r="T28" s="41"/>
      <c r="U28" s="15">
        <f t="shared" si="5"/>
        <v>15000000</v>
      </c>
      <c r="V28" s="53">
        <f t="shared" si="6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4"/>
        <v>12500000</v>
      </c>
      <c r="I29" s="45"/>
      <c r="J29" s="48"/>
      <c r="K29" s="48"/>
      <c r="L29" s="48"/>
      <c r="M29" s="48"/>
      <c r="N29" s="48"/>
      <c r="O29" s="48"/>
      <c r="P29" s="48"/>
      <c r="Q29" s="48"/>
      <c r="R29" s="48"/>
      <c r="S29" s="17">
        <v>12500000</v>
      </c>
      <c r="T29" s="41"/>
      <c r="U29" s="15">
        <f t="shared" si="5"/>
        <v>12500000</v>
      </c>
      <c r="V29" s="53">
        <f t="shared" si="6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4"/>
        <v>12000000</v>
      </c>
      <c r="I30" s="45"/>
      <c r="J30" s="48"/>
      <c r="K30" s="48"/>
      <c r="L30" s="48"/>
      <c r="M30" s="48"/>
      <c r="N30" s="48"/>
      <c r="O30" s="48"/>
      <c r="P30" s="48"/>
      <c r="Q30" s="48"/>
      <c r="R30" s="48"/>
      <c r="S30" s="17">
        <v>12000000</v>
      </c>
      <c r="T30" s="41"/>
      <c r="U30" s="15">
        <f t="shared" si="5"/>
        <v>12000000</v>
      </c>
      <c r="V30" s="53">
        <f t="shared" si="6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4"/>
        <v>1000</v>
      </c>
      <c r="I31" s="45"/>
      <c r="J31" s="48"/>
      <c r="K31" s="48"/>
      <c r="L31" s="48"/>
      <c r="M31" s="48"/>
      <c r="N31" s="48"/>
      <c r="O31" s="48"/>
      <c r="P31" s="48"/>
      <c r="Q31" s="48"/>
      <c r="R31" s="48"/>
      <c r="S31" s="17">
        <v>1000</v>
      </c>
      <c r="T31" s="41"/>
      <c r="U31" s="15">
        <f t="shared" si="5"/>
        <v>1000</v>
      </c>
      <c r="V31" s="53">
        <f t="shared" si="6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4"/>
        <v>50000</v>
      </c>
      <c r="I32" s="45"/>
      <c r="J32" s="48"/>
      <c r="K32" s="48"/>
      <c r="L32" s="48"/>
      <c r="M32" s="48"/>
      <c r="N32" s="48"/>
      <c r="O32" s="48"/>
      <c r="P32" s="48"/>
      <c r="Q32" s="48"/>
      <c r="R32" s="48"/>
      <c r="S32" s="17">
        <v>50000</v>
      </c>
      <c r="T32" s="41"/>
      <c r="U32" s="15">
        <f t="shared" si="5"/>
        <v>50000</v>
      </c>
      <c r="V32" s="53">
        <f t="shared" si="6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4"/>
        <v>10629373</v>
      </c>
      <c r="I33" s="45"/>
      <c r="J33" s="48"/>
      <c r="K33" s="48"/>
      <c r="L33" s="48"/>
      <c r="M33" s="48"/>
      <c r="N33" s="48"/>
      <c r="O33" s="48"/>
      <c r="P33" s="48">
        <v>10059000</v>
      </c>
      <c r="Q33" s="48"/>
      <c r="R33" s="48"/>
      <c r="S33" s="17">
        <v>570373</v>
      </c>
      <c r="T33" s="41"/>
      <c r="U33" s="15">
        <f t="shared" si="5"/>
        <v>10629373</v>
      </c>
      <c r="V33" s="53">
        <f t="shared" si="6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4"/>
        <v>5348956</v>
      </c>
      <c r="I34" s="45"/>
      <c r="J34" s="48"/>
      <c r="K34" s="48"/>
      <c r="L34" s="48"/>
      <c r="M34" s="48"/>
      <c r="N34" s="48"/>
      <c r="O34" s="48"/>
      <c r="P34" s="48"/>
      <c r="Q34" s="48"/>
      <c r="R34" s="48"/>
      <c r="S34" s="17">
        <v>5348956</v>
      </c>
      <c r="T34" s="41"/>
      <c r="U34" s="15">
        <f t="shared" si="5"/>
        <v>5348956</v>
      </c>
      <c r="V34" s="53">
        <f t="shared" si="6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4"/>
        <v>21638005</v>
      </c>
      <c r="I35" s="45"/>
      <c r="J35" s="48"/>
      <c r="K35" s="48"/>
      <c r="L35" s="48"/>
      <c r="M35" s="48"/>
      <c r="N35" s="48"/>
      <c r="O35" s="48"/>
      <c r="P35" s="48"/>
      <c r="Q35" s="48"/>
      <c r="R35" s="48"/>
      <c r="S35" s="17">
        <v>21638005</v>
      </c>
      <c r="T35" s="41"/>
      <c r="U35" s="15">
        <f t="shared" si="5"/>
        <v>21638005</v>
      </c>
      <c r="V35" s="53">
        <f t="shared" si="6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4"/>
        <v>6600000</v>
      </c>
      <c r="I36" s="45"/>
      <c r="J36" s="48"/>
      <c r="K36" s="48"/>
      <c r="L36" s="48"/>
      <c r="M36" s="48"/>
      <c r="N36" s="48"/>
      <c r="O36" s="48"/>
      <c r="P36" s="48"/>
      <c r="Q36" s="48"/>
      <c r="R36" s="48"/>
      <c r="S36" s="17">
        <v>6600000</v>
      </c>
      <c r="T36" s="41"/>
      <c r="U36" s="15">
        <f t="shared" si="5"/>
        <v>6600000</v>
      </c>
      <c r="V36" s="53">
        <f t="shared" si="6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4"/>
        <v>3700000</v>
      </c>
      <c r="I37" s="45"/>
      <c r="J37" s="48"/>
      <c r="K37" s="48"/>
      <c r="L37" s="48"/>
      <c r="M37" s="48"/>
      <c r="N37" s="48"/>
      <c r="O37" s="48"/>
      <c r="P37" s="48"/>
      <c r="Q37" s="48"/>
      <c r="R37" s="48"/>
      <c r="S37" s="17">
        <v>3700000</v>
      </c>
      <c r="T37" s="41"/>
      <c r="U37" s="15">
        <f t="shared" si="5"/>
        <v>3700000</v>
      </c>
      <c r="V37" s="53">
        <f t="shared" si="6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4"/>
        <v>4111271</v>
      </c>
      <c r="I38" s="45"/>
      <c r="J38" s="48"/>
      <c r="K38" s="48"/>
      <c r="L38" s="48"/>
      <c r="M38" s="48"/>
      <c r="N38" s="48">
        <v>4070000</v>
      </c>
      <c r="O38" s="48"/>
      <c r="P38" s="48"/>
      <c r="Q38" s="48"/>
      <c r="R38" s="48"/>
      <c r="S38" s="17">
        <v>41271</v>
      </c>
      <c r="T38" s="41"/>
      <c r="U38" s="15">
        <f t="shared" si="5"/>
        <v>4111271</v>
      </c>
      <c r="V38" s="53">
        <f t="shared" si="6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4"/>
        <v>5000000</v>
      </c>
      <c r="I39" s="45"/>
      <c r="J39" s="48"/>
      <c r="K39" s="48"/>
      <c r="L39" s="48"/>
      <c r="M39" s="48"/>
      <c r="N39" s="48"/>
      <c r="O39" s="48"/>
      <c r="P39" s="48"/>
      <c r="Q39" s="48"/>
      <c r="R39" s="48"/>
      <c r="S39" s="17">
        <v>5000000</v>
      </c>
      <c r="T39" s="17"/>
      <c r="U39" s="15">
        <f t="shared" si="5"/>
        <v>5000000</v>
      </c>
      <c r="V39" s="53">
        <f t="shared" si="6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48"/>
      <c r="O40" s="48">
        <v>93000</v>
      </c>
      <c r="P40" s="48">
        <v>125069</v>
      </c>
      <c r="Q40" s="48">
        <v>96747</v>
      </c>
      <c r="R40" s="48">
        <v>10052</v>
      </c>
      <c r="S40" s="17">
        <f>584773/2</f>
        <v>292386.5</v>
      </c>
      <c r="T40" s="17">
        <f>584773/2</f>
        <v>292386.5</v>
      </c>
      <c r="U40" s="15">
        <f t="shared" si="5"/>
        <v>1499999.53</v>
      </c>
      <c r="V40" s="53">
        <f t="shared" si="6"/>
        <v>0.46999999997206032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4"/>
        <v>314964</v>
      </c>
      <c r="I41" s="45">
        <v>20230</v>
      </c>
      <c r="J41" s="48"/>
      <c r="K41" s="48"/>
      <c r="L41" s="48"/>
      <c r="M41" s="48">
        <v>96747</v>
      </c>
      <c r="N41" s="48">
        <v>104839</v>
      </c>
      <c r="O41" s="48">
        <v>3747</v>
      </c>
      <c r="P41" s="48"/>
      <c r="Q41" s="48"/>
      <c r="R41" s="48">
        <v>86695</v>
      </c>
      <c r="S41" s="17">
        <v>1353</v>
      </c>
      <c r="T41" s="17">
        <v>1353</v>
      </c>
      <c r="U41" s="15">
        <f t="shared" si="5"/>
        <v>314964</v>
      </c>
      <c r="V41" s="53">
        <f t="shared" si="6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4"/>
        <v>5500000</v>
      </c>
      <c r="I42" s="45"/>
      <c r="J42" s="48"/>
      <c r="K42" s="48"/>
      <c r="L42" s="48"/>
      <c r="M42" s="48"/>
      <c r="N42" s="48"/>
      <c r="O42" s="48">
        <v>4413546</v>
      </c>
      <c r="P42" s="48"/>
      <c r="Q42" s="48"/>
      <c r="R42" s="48"/>
      <c r="S42" s="17">
        <v>1086454</v>
      </c>
      <c r="T42" s="41"/>
      <c r="U42" s="15">
        <f t="shared" si="5"/>
        <v>5500000</v>
      </c>
      <c r="V42" s="53">
        <f t="shared" si="6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4"/>
        <v>29000000</v>
      </c>
      <c r="I43" s="45"/>
      <c r="J43" s="48"/>
      <c r="K43" s="48"/>
      <c r="L43" s="48"/>
      <c r="M43" s="48">
        <v>4800000</v>
      </c>
      <c r="N43" s="48"/>
      <c r="O43" s="48"/>
      <c r="P43" s="48">
        <v>2400000</v>
      </c>
      <c r="Q43" s="48">
        <v>4800000</v>
      </c>
      <c r="R43" s="48"/>
      <c r="S43" s="17">
        <v>17000000</v>
      </c>
      <c r="T43" s="41"/>
      <c r="U43" s="15">
        <f t="shared" si="5"/>
        <v>29000000</v>
      </c>
      <c r="V43" s="53">
        <f t="shared" si="6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4"/>
        <v>4800000</v>
      </c>
      <c r="I44" s="45"/>
      <c r="J44" s="48"/>
      <c r="K44" s="48">
        <v>2400000</v>
      </c>
      <c r="L44" s="55">
        <v>2400000</v>
      </c>
      <c r="M44" s="48"/>
      <c r="N44" s="48"/>
      <c r="O44" s="48"/>
      <c r="P44" s="48"/>
      <c r="Q44" s="48"/>
      <c r="R44" s="48"/>
      <c r="S44" s="17">
        <v>0</v>
      </c>
      <c r="T44" s="41"/>
      <c r="U44" s="15">
        <f t="shared" si="5"/>
        <v>4800000</v>
      </c>
      <c r="V44" s="53">
        <f t="shared" si="6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4"/>
        <v>1900000</v>
      </c>
      <c r="I45" s="45"/>
      <c r="J45" s="48"/>
      <c r="K45" s="48"/>
      <c r="L45" s="48"/>
      <c r="M45" s="48"/>
      <c r="N45" s="48"/>
      <c r="O45" s="48"/>
      <c r="P45" s="48"/>
      <c r="Q45" s="48"/>
      <c r="R45" s="48"/>
      <c r="S45" s="17">
        <v>1900000</v>
      </c>
      <c r="T45" s="41"/>
      <c r="U45" s="15">
        <f t="shared" si="5"/>
        <v>1900000</v>
      </c>
      <c r="V45" s="53">
        <f t="shared" si="6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4"/>
        <v>16000000</v>
      </c>
      <c r="I46" s="45"/>
      <c r="J46" s="48"/>
      <c r="K46" s="48"/>
      <c r="L46" s="48"/>
      <c r="M46" s="48"/>
      <c r="N46" s="48"/>
      <c r="O46" s="48">
        <v>3200000</v>
      </c>
      <c r="P46" s="48"/>
      <c r="Q46" s="48">
        <v>1425000</v>
      </c>
      <c r="R46" s="48">
        <v>1900000</v>
      </c>
      <c r="S46" s="17">
        <v>9475000</v>
      </c>
      <c r="T46" s="17"/>
      <c r="U46" s="15">
        <f t="shared" si="5"/>
        <v>16000000</v>
      </c>
      <c r="V46" s="53">
        <f t="shared" si="6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4"/>
        <v>6600000</v>
      </c>
      <c r="I47" s="45"/>
      <c r="J47" s="48"/>
      <c r="K47" s="48"/>
      <c r="L47" s="48"/>
      <c r="M47" s="48"/>
      <c r="N47" s="48"/>
      <c r="O47" s="48">
        <v>2153500</v>
      </c>
      <c r="P47" s="48"/>
      <c r="Q47" s="48"/>
      <c r="R47" s="48"/>
      <c r="S47" s="17">
        <v>4446500</v>
      </c>
      <c r="T47" s="41"/>
      <c r="U47" s="15">
        <f t="shared" si="5"/>
        <v>6600000</v>
      </c>
      <c r="V47" s="53">
        <f t="shared" si="6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4"/>
        <v>2800000</v>
      </c>
      <c r="I48" s="45"/>
      <c r="J48" s="48"/>
      <c r="K48" s="48"/>
      <c r="L48" s="48"/>
      <c r="M48" s="48"/>
      <c r="N48" s="48"/>
      <c r="O48" s="48"/>
      <c r="P48" s="48"/>
      <c r="Q48" s="48"/>
      <c r="R48" s="48"/>
      <c r="S48" s="17">
        <v>2800000</v>
      </c>
      <c r="T48" s="41"/>
      <c r="U48" s="15">
        <f t="shared" si="5"/>
        <v>2800000</v>
      </c>
      <c r="V48" s="53">
        <f t="shared" si="6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4"/>
        <v>3700000</v>
      </c>
      <c r="I49" s="45"/>
      <c r="J49" s="48"/>
      <c r="K49" s="48"/>
      <c r="L49" s="48"/>
      <c r="M49" s="48">
        <v>7612</v>
      </c>
      <c r="N49" s="48"/>
      <c r="O49" s="48"/>
      <c r="P49" s="48">
        <v>422959</v>
      </c>
      <c r="Q49" s="48">
        <v>420734</v>
      </c>
      <c r="R49" s="48"/>
      <c r="S49" s="17">
        <f>2848695/2</f>
        <v>1424347.5</v>
      </c>
      <c r="T49" s="17">
        <f>2848695/2</f>
        <v>1424347.5</v>
      </c>
      <c r="U49" s="15">
        <f t="shared" si="5"/>
        <v>3700000</v>
      </c>
      <c r="V49" s="53">
        <f t="shared" si="6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4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48">
        <v>327969</v>
      </c>
      <c r="O50" s="48">
        <v>235029</v>
      </c>
      <c r="P50" s="48"/>
      <c r="Q50" s="48"/>
      <c r="R50" s="48">
        <v>415209</v>
      </c>
      <c r="S50" s="17">
        <f>1471666/2</f>
        <v>735833</v>
      </c>
      <c r="T50" s="17">
        <f>1471666/2</f>
        <v>735833</v>
      </c>
      <c r="U50" s="15">
        <f t="shared" si="5"/>
        <v>3700000</v>
      </c>
      <c r="V50" s="53">
        <f t="shared" si="6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4"/>
        <v>300000</v>
      </c>
      <c r="I51" s="45"/>
      <c r="J51" s="48"/>
      <c r="K51" s="48"/>
      <c r="L51" s="48"/>
      <c r="M51" s="48"/>
      <c r="N51" s="48"/>
      <c r="O51" s="48">
        <v>300000</v>
      </c>
      <c r="P51" s="48"/>
      <c r="Q51" s="48"/>
      <c r="R51" s="48"/>
      <c r="S51" s="17">
        <v>0</v>
      </c>
      <c r="T51" s="17"/>
      <c r="U51" s="15">
        <f t="shared" si="5"/>
        <v>300000</v>
      </c>
      <c r="V51" s="53">
        <f t="shared" si="6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4"/>
        <v>959359</v>
      </c>
      <c r="I52" s="45">
        <v>406459</v>
      </c>
      <c r="J52" s="48"/>
      <c r="K52" s="48"/>
      <c r="L52" s="48"/>
      <c r="M52" s="48">
        <v>529317</v>
      </c>
      <c r="N52" s="48"/>
      <c r="O52" s="48">
        <v>23582</v>
      </c>
      <c r="P52" s="48"/>
      <c r="Q52" s="48"/>
      <c r="R52" s="48"/>
      <c r="S52" s="17">
        <v>1</v>
      </c>
      <c r="T52" s="17"/>
      <c r="U52" s="15">
        <f t="shared" si="5"/>
        <v>959359</v>
      </c>
      <c r="V52" s="53">
        <f t="shared" si="6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4"/>
        <v>2000000</v>
      </c>
      <c r="I53" s="45"/>
      <c r="J53" s="48"/>
      <c r="K53" s="48"/>
      <c r="L53" s="48"/>
      <c r="M53" s="48"/>
      <c r="N53" s="48"/>
      <c r="O53" s="48"/>
      <c r="P53" s="48"/>
      <c r="Q53" s="48"/>
      <c r="R53" s="48"/>
      <c r="S53" s="17">
        <v>2000000</v>
      </c>
      <c r="T53" s="17"/>
      <c r="U53" s="15">
        <f t="shared" si="5"/>
        <v>2000000</v>
      </c>
      <c r="V53" s="53">
        <f t="shared" si="6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4"/>
        <v>1000</v>
      </c>
      <c r="I54" s="45"/>
      <c r="J54" s="48"/>
      <c r="K54" s="48"/>
      <c r="L54" s="48"/>
      <c r="M54" s="48"/>
      <c r="N54" s="48"/>
      <c r="O54" s="48"/>
      <c r="P54" s="48"/>
      <c r="Q54" s="48"/>
      <c r="R54" s="48"/>
      <c r="S54" s="17">
        <v>500</v>
      </c>
      <c r="T54" s="17">
        <v>500</v>
      </c>
      <c r="U54" s="11">
        <f t="shared" si="5"/>
        <v>1000</v>
      </c>
      <c r="V54" s="53">
        <f t="shared" si="6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7">SUM(C25:C55)</f>
        <v>129053000</v>
      </c>
      <c r="D56" s="24">
        <f t="shared" si="7"/>
        <v>78000928</v>
      </c>
      <c r="E56" s="25">
        <f t="shared" si="7"/>
        <v>0</v>
      </c>
      <c r="F56" s="25">
        <f t="shared" si="7"/>
        <v>0</v>
      </c>
      <c r="G56" s="26">
        <f t="shared" si="7"/>
        <v>0</v>
      </c>
      <c r="H56" s="23">
        <f t="shared" si="7"/>
        <v>207053928</v>
      </c>
      <c r="I56" s="35">
        <f t="shared" si="7"/>
        <v>726807</v>
      </c>
      <c r="J56" s="36">
        <f t="shared" si="7"/>
        <v>532166</v>
      </c>
      <c r="K56" s="36">
        <f t="shared" si="7"/>
        <v>2997485.53</v>
      </c>
      <c r="L56" s="36">
        <f t="shared" si="7"/>
        <v>2810716</v>
      </c>
      <c r="M56" s="36">
        <f t="shared" si="7"/>
        <v>5433676</v>
      </c>
      <c r="N56" s="36">
        <f t="shared" si="7"/>
        <v>4502808</v>
      </c>
      <c r="O56" s="36">
        <f t="shared" si="7"/>
        <v>10422404</v>
      </c>
      <c r="P56" s="36">
        <f t="shared" si="7"/>
        <v>13007028</v>
      </c>
      <c r="Q56" s="36">
        <f t="shared" si="7"/>
        <v>6742481</v>
      </c>
      <c r="R56" s="36">
        <f t="shared" si="7"/>
        <v>2411956</v>
      </c>
      <c r="S56" s="36">
        <f t="shared" si="7"/>
        <v>155011980</v>
      </c>
      <c r="T56" s="57">
        <f t="shared" si="7"/>
        <v>2454420</v>
      </c>
      <c r="U56" s="23">
        <f t="shared" si="7"/>
        <v>207053927.53</v>
      </c>
      <c r="V56" s="58">
        <f t="shared" si="7"/>
        <v>0.46999999997206032</v>
      </c>
    </row>
    <row r="61" spans="1:22" ht="24" x14ac:dyDescent="0.25">
      <c r="B61" s="103" t="s">
        <v>120</v>
      </c>
    </row>
    <row r="62" spans="1:22" x14ac:dyDescent="0.25">
      <c r="B62" s="101"/>
    </row>
    <row r="64" spans="1:22" x14ac:dyDescent="0.25">
      <c r="A64" s="102" t="s">
        <v>118</v>
      </c>
      <c r="B64" s="102" t="s">
        <v>119</v>
      </c>
    </row>
  </sheetData>
  <mergeCells count="73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C23:C24"/>
    <mergeCell ref="D23:G23"/>
    <mergeCell ref="H23:H24"/>
    <mergeCell ref="I23:I24"/>
    <mergeCell ref="D19:E19"/>
    <mergeCell ref="F19:G19"/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A43" zoomScale="97" zoomScaleNormal="97" workbookViewId="0">
      <selection activeCell="F65" sqref="F65"/>
    </sheetView>
  </sheetViews>
  <sheetFormatPr baseColWidth="10" defaultColWidth="11.42578125" defaultRowHeight="12.75" x14ac:dyDescent="0.25"/>
  <cols>
    <col min="1" max="1" width="17.7109375" style="1" customWidth="1"/>
    <col min="2" max="2" width="34.140625" style="1" customWidth="1"/>
    <col min="3" max="3" width="16.7109375" style="1" customWidth="1"/>
    <col min="4" max="4" width="10.7109375" style="1" customWidth="1"/>
    <col min="5" max="5" width="8.85546875" style="1" customWidth="1"/>
    <col min="6" max="6" width="12.7109375" style="1" customWidth="1"/>
    <col min="7" max="7" width="11.5703125" style="1" customWidth="1"/>
    <col min="8" max="8" width="15.85546875" style="1" customWidth="1"/>
    <col min="9" max="9" width="11.85546875" style="1" customWidth="1"/>
    <col min="10" max="10" width="10.140625" style="1" customWidth="1"/>
    <col min="11" max="11" width="11.7109375" style="1" customWidth="1"/>
    <col min="12" max="12" width="9.7109375" style="1" customWidth="1"/>
    <col min="13" max="18" width="10.7109375" style="1" customWidth="1"/>
    <col min="19" max="19" width="11.7109375" style="1" customWidth="1"/>
    <col min="20" max="20" width="11.85546875" style="1" customWidth="1"/>
    <col min="21" max="21" width="13" style="1" customWidth="1"/>
    <col min="22" max="22" width="12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47">
        <v>234000</v>
      </c>
      <c r="Q8" s="47">
        <v>368000</v>
      </c>
      <c r="R8" s="47">
        <v>124000</v>
      </c>
      <c r="S8" s="47">
        <v>165000</v>
      </c>
      <c r="T8" s="29">
        <v>269000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0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48">
        <v>1100000</v>
      </c>
      <c r="Q9" s="48"/>
      <c r="R9" s="48"/>
      <c r="S9" s="48">
        <v>2000000</v>
      </c>
      <c r="T9" s="17"/>
      <c r="U9" s="15">
        <f t="shared" ref="U9:U19" si="1">SUM(I9:T9)</f>
        <v>7071000</v>
      </c>
      <c r="V9" s="15">
        <f t="shared" ref="V9:V19" si="2">H9-U9</f>
        <v>-1571000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0"/>
        <v>90238005</v>
      </c>
      <c r="I10" s="45"/>
      <c r="J10" s="48"/>
      <c r="K10" s="48">
        <v>90238005</v>
      </c>
      <c r="L10" s="48"/>
      <c r="M10" s="48"/>
      <c r="N10" s="48"/>
      <c r="O10" s="48"/>
      <c r="P10" s="48"/>
      <c r="Q10" s="48"/>
      <c r="R10" s="48"/>
      <c r="S10" s="48"/>
      <c r="T10" s="17"/>
      <c r="U10" s="15">
        <f t="shared" si="1"/>
        <v>90238005</v>
      </c>
      <c r="V10" s="15">
        <f t="shared" si="2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0"/>
        <v>30629373</v>
      </c>
      <c r="I11" s="45"/>
      <c r="J11" s="48"/>
      <c r="K11" s="48">
        <v>30629373</v>
      </c>
      <c r="L11" s="48"/>
      <c r="M11" s="48"/>
      <c r="N11" s="48"/>
      <c r="O11" s="48"/>
      <c r="P11" s="48"/>
      <c r="Q11" s="48"/>
      <c r="R11" s="48"/>
      <c r="S11" s="48"/>
      <c r="T11" s="17"/>
      <c r="U11" s="15">
        <f>SUM(I11:T11)</f>
        <v>30629373</v>
      </c>
      <c r="V11" s="15">
        <f t="shared" si="2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0"/>
        <v>25348956</v>
      </c>
      <c r="I12" s="45"/>
      <c r="J12" s="48"/>
      <c r="K12" s="48">
        <v>25348956</v>
      </c>
      <c r="L12" s="48"/>
      <c r="M12" s="48"/>
      <c r="N12" s="48"/>
      <c r="O12" s="48"/>
      <c r="P12" s="48"/>
      <c r="Q12" s="48"/>
      <c r="R12" s="48"/>
      <c r="S12" s="48"/>
      <c r="T12" s="17"/>
      <c r="U12" s="15">
        <f t="shared" si="1"/>
        <v>25348956</v>
      </c>
      <c r="V12" s="15">
        <f t="shared" si="2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>
        <v>220000</v>
      </c>
      <c r="G13" s="85"/>
      <c r="H13" s="31">
        <f t="shared" si="0"/>
        <v>31780000</v>
      </c>
      <c r="I13" s="45"/>
      <c r="J13" s="48"/>
      <c r="K13" s="48"/>
      <c r="L13" s="48"/>
      <c r="M13" s="48"/>
      <c r="N13" s="48"/>
      <c r="O13" s="48"/>
      <c r="P13" s="48">
        <v>31780000</v>
      </c>
      <c r="Q13" s="48"/>
      <c r="R13" s="48"/>
      <c r="S13" s="48"/>
      <c r="T13" s="17"/>
      <c r="U13" s="15">
        <f t="shared" si="1"/>
        <v>31780000</v>
      </c>
      <c r="V13" s="15">
        <f t="shared" si="2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0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48">
        <v>1285.6099999999999</v>
      </c>
      <c r="Q14" s="48">
        <v>1102.22</v>
      </c>
      <c r="R14" s="48">
        <v>1129</v>
      </c>
      <c r="S14" s="48">
        <v>1092</v>
      </c>
      <c r="T14" s="17">
        <v>39504</v>
      </c>
      <c r="U14" s="15">
        <f t="shared" si="1"/>
        <v>50000.49</v>
      </c>
      <c r="V14" s="15">
        <f t="shared" si="2"/>
        <v>-0.48999999999796273</v>
      </c>
    </row>
    <row r="15" spans="1:22" ht="25.5" x14ac:dyDescent="0.25">
      <c r="A15" s="4" t="s">
        <v>93</v>
      </c>
      <c r="B15" s="5" t="s">
        <v>94</v>
      </c>
      <c r="C15" s="15">
        <v>0</v>
      </c>
      <c r="D15" s="83">
        <v>4000000</v>
      </c>
      <c r="E15" s="84"/>
      <c r="F15" s="84"/>
      <c r="G15" s="85"/>
      <c r="H15" s="31">
        <f t="shared" si="0"/>
        <v>4000000</v>
      </c>
      <c r="I15" s="45"/>
      <c r="J15" s="48"/>
      <c r="K15" s="48">
        <v>4000000</v>
      </c>
      <c r="L15" s="48"/>
      <c r="M15" s="48"/>
      <c r="N15" s="48"/>
      <c r="O15" s="48"/>
      <c r="P15" s="48"/>
      <c r="Q15" s="48"/>
      <c r="R15" s="48"/>
      <c r="S15" s="48"/>
      <c r="T15" s="17"/>
      <c r="U15" s="15">
        <f t="shared" si="1"/>
        <v>4000000</v>
      </c>
      <c r="V15" s="15">
        <f t="shared" si="2"/>
        <v>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0"/>
        <v>4315964</v>
      </c>
      <c r="I16" s="46">
        <v>4314964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21">
        <v>1000</v>
      </c>
      <c r="U16" s="15">
        <f t="shared" si="1"/>
        <v>4315964</v>
      </c>
      <c r="V16" s="15">
        <f t="shared" si="2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0"/>
        <v>5760359</v>
      </c>
      <c r="I17" s="46">
        <v>5759359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21">
        <v>1000</v>
      </c>
      <c r="U17" s="15">
        <f t="shared" si="1"/>
        <v>5760359</v>
      </c>
      <c r="V17" s="15">
        <f t="shared" si="2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0"/>
        <v>10711271</v>
      </c>
      <c r="I18" s="46">
        <v>10710271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21">
        <v>1000</v>
      </c>
      <c r="U18" s="15">
        <f t="shared" si="1"/>
        <v>10711271</v>
      </c>
      <c r="V18" s="15">
        <f t="shared" si="2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0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1"/>
        <v>0</v>
      </c>
      <c r="V19" s="15">
        <f t="shared" si="2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82000928</v>
      </c>
      <c r="E20" s="80"/>
      <c r="F20" s="79">
        <f>SUM(F8:G19)</f>
        <v>220000</v>
      </c>
      <c r="G20" s="80"/>
      <c r="H20" s="23">
        <f t="shared" ref="H20:V20" si="3">SUM(H8:H19)</f>
        <v>210833928</v>
      </c>
      <c r="I20" s="35">
        <f t="shared" si="3"/>
        <v>23164791.399999999</v>
      </c>
      <c r="J20" s="36">
        <f t="shared" si="3"/>
        <v>442081.21</v>
      </c>
      <c r="K20" s="36">
        <f t="shared" si="3"/>
        <v>150981458.21000001</v>
      </c>
      <c r="L20" s="36">
        <f t="shared" si="3"/>
        <v>758387.19999999995</v>
      </c>
      <c r="M20" s="36">
        <f t="shared" si="3"/>
        <v>752423.22</v>
      </c>
      <c r="N20" s="36">
        <f t="shared" si="3"/>
        <v>46338.19</v>
      </c>
      <c r="O20" s="36">
        <f t="shared" si="3"/>
        <v>172336.23</v>
      </c>
      <c r="P20" s="36">
        <f t="shared" si="3"/>
        <v>33115285.609999999</v>
      </c>
      <c r="Q20" s="36">
        <f t="shared" si="3"/>
        <v>369102.22</v>
      </c>
      <c r="R20" s="36">
        <f t="shared" si="3"/>
        <v>125129</v>
      </c>
      <c r="S20" s="36">
        <f t="shared" si="3"/>
        <v>2166092</v>
      </c>
      <c r="T20" s="37">
        <f t="shared" si="3"/>
        <v>311504</v>
      </c>
      <c r="U20" s="23">
        <f t="shared" si="3"/>
        <v>212404928.49000001</v>
      </c>
      <c r="V20" s="23">
        <f t="shared" si="3"/>
        <v>-1571000.49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26.25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>
        <v>4800000</v>
      </c>
      <c r="H25" s="27">
        <f>C25+D25-E25+F25-G25</f>
        <v>0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>
        <v>0</v>
      </c>
      <c r="U25" s="11">
        <f>SUM(I25:T25)</f>
        <v>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>
        <v>10000000</v>
      </c>
      <c r="H26" s="27">
        <f>C26+D26-E26+F26-G26</f>
        <v>8000000</v>
      </c>
      <c r="I26" s="54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>
        <v>8000000</v>
      </c>
      <c r="U26" s="15">
        <f>SUM(I26:T26)</f>
        <v>8000000</v>
      </c>
      <c r="V26" s="53">
        <f>H26-U26</f>
        <v>0</v>
      </c>
    </row>
    <row r="27" spans="1:22" ht="25.5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7" si="4">C27+D27-E27+F27-G27</f>
        <v>8600000</v>
      </c>
      <c r="I27" s="45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1">
        <v>8600000</v>
      </c>
      <c r="U27" s="15">
        <f t="shared" ref="U27:U57" si="5">SUM(I27:T27)</f>
        <v>8600000</v>
      </c>
      <c r="V27" s="53">
        <f t="shared" ref="V27:V57" si="6">H27-U27</f>
        <v>0</v>
      </c>
    </row>
    <row r="28" spans="1:22" ht="25.5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>
        <v>10348956</v>
      </c>
      <c r="G28" s="14"/>
      <c r="H28" s="27">
        <f t="shared" si="4"/>
        <v>25348956</v>
      </c>
      <c r="I28" s="4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1">
        <v>25348956</v>
      </c>
      <c r="U28" s="15">
        <f t="shared" si="5"/>
        <v>25348956</v>
      </c>
      <c r="V28" s="53">
        <f t="shared" si="6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4"/>
        <v>12500000</v>
      </c>
      <c r="I29" s="45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1">
        <v>12500000</v>
      </c>
      <c r="U29" s="15">
        <f t="shared" si="5"/>
        <v>12500000</v>
      </c>
      <c r="V29" s="53">
        <f t="shared" si="6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>
        <v>4800000</v>
      </c>
      <c r="G30" s="14"/>
      <c r="H30" s="27">
        <f t="shared" si="4"/>
        <v>16800000</v>
      </c>
      <c r="I30" s="45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1">
        <v>16800000</v>
      </c>
      <c r="U30" s="15">
        <f t="shared" si="5"/>
        <v>16800000</v>
      </c>
      <c r="V30" s="53">
        <f t="shared" si="6"/>
        <v>0</v>
      </c>
    </row>
    <row r="31" spans="1:22" ht="25.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4"/>
        <v>1000</v>
      </c>
      <c r="I31" s="4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1">
        <v>1000</v>
      </c>
      <c r="U31" s="15">
        <f t="shared" si="5"/>
        <v>1000</v>
      </c>
      <c r="V31" s="53">
        <f t="shared" si="6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4"/>
        <v>50000</v>
      </c>
      <c r="I32" s="4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1">
        <v>50000</v>
      </c>
      <c r="U32" s="15">
        <f t="shared" si="5"/>
        <v>50000</v>
      </c>
      <c r="V32" s="53">
        <f t="shared" si="6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>
        <v>12000000</v>
      </c>
      <c r="G33" s="14"/>
      <c r="H33" s="27">
        <f t="shared" si="4"/>
        <v>22629373</v>
      </c>
      <c r="I33" s="45"/>
      <c r="J33" s="48"/>
      <c r="K33" s="48"/>
      <c r="L33" s="48"/>
      <c r="M33" s="48"/>
      <c r="N33" s="48"/>
      <c r="O33" s="48"/>
      <c r="P33" s="48">
        <v>10059000</v>
      </c>
      <c r="Q33" s="48"/>
      <c r="R33" s="48"/>
      <c r="S33" s="48"/>
      <c r="T33" s="41">
        <v>12570373</v>
      </c>
      <c r="U33" s="15">
        <f t="shared" si="5"/>
        <v>22629373</v>
      </c>
      <c r="V33" s="53">
        <f t="shared" si="6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>
        <v>5348956</v>
      </c>
      <c r="H34" s="27">
        <f t="shared" si="4"/>
        <v>0</v>
      </c>
      <c r="I34" s="4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1">
        <v>0</v>
      </c>
      <c r="U34" s="15">
        <f t="shared" si="5"/>
        <v>0</v>
      </c>
      <c r="V34" s="53">
        <f t="shared" si="6"/>
        <v>0</v>
      </c>
    </row>
    <row r="35" spans="1:22" ht="25.5" x14ac:dyDescent="0.25">
      <c r="A35" s="60" t="s">
        <v>109</v>
      </c>
      <c r="B35" s="61" t="s">
        <v>110</v>
      </c>
      <c r="C35" s="11">
        <v>0</v>
      </c>
      <c r="D35" s="12">
        <v>4000000</v>
      </c>
      <c r="E35" s="13"/>
      <c r="F35" s="13"/>
      <c r="G35" s="14"/>
      <c r="H35" s="27">
        <f t="shared" si="4"/>
        <v>4000000</v>
      </c>
      <c r="I35" s="45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1">
        <v>4000000</v>
      </c>
      <c r="U35" s="15">
        <f t="shared" ref="U35" si="7">SUM(I35:T35)</f>
        <v>4000000</v>
      </c>
      <c r="V35" s="53">
        <f t="shared" ref="V35" si="8">H35-U35</f>
        <v>0</v>
      </c>
    </row>
    <row r="36" spans="1:22" ht="25.5" x14ac:dyDescent="0.25">
      <c r="A36" s="2" t="s">
        <v>40</v>
      </c>
      <c r="B36" s="3" t="s">
        <v>41</v>
      </c>
      <c r="C36" s="11">
        <v>20400000</v>
      </c>
      <c r="D36" s="12">
        <v>1238005</v>
      </c>
      <c r="E36" s="13"/>
      <c r="F36" s="13"/>
      <c r="G36" s="14"/>
      <c r="H36" s="27">
        <f t="shared" si="4"/>
        <v>21638005</v>
      </c>
      <c r="I36" s="45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1">
        <v>21638005</v>
      </c>
      <c r="U36" s="15">
        <f t="shared" si="5"/>
        <v>21638005</v>
      </c>
      <c r="V36" s="53">
        <f t="shared" si="6"/>
        <v>0</v>
      </c>
    </row>
    <row r="37" spans="1:22" ht="25.5" x14ac:dyDescent="0.25">
      <c r="A37" s="2" t="s">
        <v>42</v>
      </c>
      <c r="B37" s="3" t="s">
        <v>43</v>
      </c>
      <c r="C37" s="11">
        <v>6600000</v>
      </c>
      <c r="D37" s="12"/>
      <c r="E37" s="13">
        <v>220000</v>
      </c>
      <c r="F37" s="13"/>
      <c r="G37" s="14">
        <v>2100000</v>
      </c>
      <c r="H37" s="27">
        <f t="shared" si="4"/>
        <v>4280000</v>
      </c>
      <c r="I37" s="45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1">
        <v>4280000</v>
      </c>
      <c r="U37" s="15">
        <f t="shared" si="5"/>
        <v>4280000</v>
      </c>
      <c r="V37" s="53">
        <f t="shared" si="6"/>
        <v>0</v>
      </c>
    </row>
    <row r="38" spans="1:22" ht="25.5" x14ac:dyDescent="0.25">
      <c r="A38" s="2" t="s">
        <v>82</v>
      </c>
      <c r="B38" s="3" t="s">
        <v>83</v>
      </c>
      <c r="C38" s="11">
        <v>0</v>
      </c>
      <c r="D38" s="12">
        <v>3700000</v>
      </c>
      <c r="E38" s="13"/>
      <c r="F38" s="13"/>
      <c r="G38" s="14"/>
      <c r="H38" s="27">
        <f t="shared" si="4"/>
        <v>3700000</v>
      </c>
      <c r="I38" s="45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1">
        <v>3700000</v>
      </c>
      <c r="U38" s="15">
        <f t="shared" si="5"/>
        <v>3700000</v>
      </c>
      <c r="V38" s="53">
        <f t="shared" si="6"/>
        <v>0</v>
      </c>
    </row>
    <row r="39" spans="1:22" ht="25.5" x14ac:dyDescent="0.25">
      <c r="A39" s="2" t="s">
        <v>60</v>
      </c>
      <c r="B39" s="3" t="s">
        <v>61</v>
      </c>
      <c r="C39" s="11">
        <v>1000</v>
      </c>
      <c r="D39" s="12">
        <v>4110271</v>
      </c>
      <c r="E39" s="13"/>
      <c r="F39" s="13"/>
      <c r="G39" s="14"/>
      <c r="H39" s="27">
        <f t="shared" si="4"/>
        <v>4111271</v>
      </c>
      <c r="I39" s="45"/>
      <c r="J39" s="48"/>
      <c r="K39" s="48"/>
      <c r="L39" s="48"/>
      <c r="M39" s="48"/>
      <c r="N39" s="48">
        <v>4070000</v>
      </c>
      <c r="O39" s="48"/>
      <c r="P39" s="48"/>
      <c r="Q39" s="48"/>
      <c r="R39" s="48"/>
      <c r="S39" s="48"/>
      <c r="T39" s="41">
        <v>41271</v>
      </c>
      <c r="U39" s="15">
        <f t="shared" si="5"/>
        <v>4111271</v>
      </c>
      <c r="V39" s="53">
        <f t="shared" si="6"/>
        <v>0</v>
      </c>
    </row>
    <row r="40" spans="1:22" ht="25.5" x14ac:dyDescent="0.25">
      <c r="A40" s="50" t="s">
        <v>105</v>
      </c>
      <c r="B40" s="50" t="s">
        <v>106</v>
      </c>
      <c r="C40" s="11">
        <v>0</v>
      </c>
      <c r="D40" s="12">
        <v>5000000</v>
      </c>
      <c r="E40" s="13"/>
      <c r="F40" s="13"/>
      <c r="G40" s="14">
        <v>5000000</v>
      </c>
      <c r="H40" s="27">
        <f t="shared" si="4"/>
        <v>0</v>
      </c>
      <c r="I40" s="4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17">
        <v>0</v>
      </c>
      <c r="U40" s="15">
        <f t="shared" si="5"/>
        <v>0</v>
      </c>
      <c r="V40" s="53">
        <f t="shared" si="6"/>
        <v>0</v>
      </c>
    </row>
    <row r="41" spans="1:22" ht="25.5" x14ac:dyDescent="0.25">
      <c r="A41" s="2" t="s">
        <v>44</v>
      </c>
      <c r="B41" s="3" t="s">
        <v>45</v>
      </c>
      <c r="C41" s="11">
        <v>1500000</v>
      </c>
      <c r="D41" s="12"/>
      <c r="E41" s="13"/>
      <c r="F41" s="13">
        <v>1000000</v>
      </c>
      <c r="G41" s="14"/>
      <c r="H41" s="27">
        <f>C41+D41-E41+F41-G41</f>
        <v>2500000</v>
      </c>
      <c r="I41" s="45">
        <v>300118</v>
      </c>
      <c r="J41" s="48">
        <v>967</v>
      </c>
      <c r="K41" s="48">
        <v>192526.53</v>
      </c>
      <c r="L41" s="55">
        <v>96747</v>
      </c>
      <c r="M41" s="48"/>
      <c r="N41" s="48"/>
      <c r="O41" s="48">
        <v>93000</v>
      </c>
      <c r="P41" s="48">
        <v>125069</v>
      </c>
      <c r="Q41" s="48">
        <v>96747</v>
      </c>
      <c r="R41" s="48">
        <v>10052</v>
      </c>
      <c r="S41" s="48">
        <v>476119</v>
      </c>
      <c r="T41" s="17">
        <v>1108654.47</v>
      </c>
      <c r="U41" s="15">
        <f t="shared" si="5"/>
        <v>2500000</v>
      </c>
      <c r="V41" s="53">
        <f t="shared" si="6"/>
        <v>0</v>
      </c>
    </row>
    <row r="42" spans="1:22" ht="25.5" x14ac:dyDescent="0.25">
      <c r="A42" s="2" t="s">
        <v>58</v>
      </c>
      <c r="B42" s="3" t="s">
        <v>59</v>
      </c>
      <c r="C42" s="11">
        <v>0</v>
      </c>
      <c r="D42" s="12">
        <v>314964</v>
      </c>
      <c r="E42" s="13"/>
      <c r="F42" s="13"/>
      <c r="G42" s="14"/>
      <c r="H42" s="27">
        <f t="shared" si="4"/>
        <v>314964</v>
      </c>
      <c r="I42" s="45">
        <v>20230</v>
      </c>
      <c r="J42" s="48"/>
      <c r="K42" s="48"/>
      <c r="L42" s="48"/>
      <c r="M42" s="48">
        <v>96747</v>
      </c>
      <c r="N42" s="48">
        <v>104839</v>
      </c>
      <c r="O42" s="48">
        <v>3747</v>
      </c>
      <c r="P42" s="48"/>
      <c r="Q42" s="48"/>
      <c r="R42" s="48">
        <v>86695</v>
      </c>
      <c r="S42" s="48"/>
      <c r="T42" s="17">
        <v>2706</v>
      </c>
      <c r="U42" s="15">
        <f t="shared" si="5"/>
        <v>314964</v>
      </c>
      <c r="V42" s="53">
        <f t="shared" si="6"/>
        <v>0</v>
      </c>
    </row>
    <row r="43" spans="1:22" ht="25.5" x14ac:dyDescent="0.25">
      <c r="A43" s="2" t="s">
        <v>46</v>
      </c>
      <c r="B43" s="3" t="s">
        <v>47</v>
      </c>
      <c r="C43" s="11">
        <v>5500000</v>
      </c>
      <c r="D43" s="12"/>
      <c r="E43" s="13"/>
      <c r="F43" s="13"/>
      <c r="G43" s="14"/>
      <c r="H43" s="27">
        <f t="shared" si="4"/>
        <v>5500000</v>
      </c>
      <c r="I43" s="45"/>
      <c r="J43" s="48"/>
      <c r="K43" s="48"/>
      <c r="L43" s="48"/>
      <c r="M43" s="48"/>
      <c r="N43" s="48"/>
      <c r="O43" s="48">
        <v>4413546</v>
      </c>
      <c r="P43" s="48"/>
      <c r="Q43" s="48"/>
      <c r="R43" s="48"/>
      <c r="S43" s="48"/>
      <c r="T43" s="41">
        <v>1086454</v>
      </c>
      <c r="U43" s="15">
        <f t="shared" si="5"/>
        <v>5500000</v>
      </c>
      <c r="V43" s="53">
        <f t="shared" si="6"/>
        <v>0</v>
      </c>
    </row>
    <row r="44" spans="1:22" ht="25.5" x14ac:dyDescent="0.25">
      <c r="A44" s="2" t="s">
        <v>48</v>
      </c>
      <c r="B44" s="3" t="s">
        <v>49</v>
      </c>
      <c r="C44" s="11">
        <v>29000000</v>
      </c>
      <c r="D44" s="12"/>
      <c r="E44" s="13"/>
      <c r="F44" s="13"/>
      <c r="G44" s="14"/>
      <c r="H44" s="27">
        <f t="shared" si="4"/>
        <v>29000000</v>
      </c>
      <c r="I44" s="45"/>
      <c r="J44" s="48"/>
      <c r="K44" s="48"/>
      <c r="L44" s="48"/>
      <c r="M44" s="48">
        <v>4800000</v>
      </c>
      <c r="N44" s="48"/>
      <c r="O44" s="48"/>
      <c r="P44" s="48">
        <v>2400000</v>
      </c>
      <c r="Q44" s="48">
        <v>4800000</v>
      </c>
      <c r="R44" s="48"/>
      <c r="S44" s="48"/>
      <c r="T44" s="41">
        <v>17000000</v>
      </c>
      <c r="U44" s="15">
        <f t="shared" si="5"/>
        <v>29000000</v>
      </c>
      <c r="V44" s="53">
        <f t="shared" si="6"/>
        <v>0</v>
      </c>
    </row>
    <row r="45" spans="1:22" ht="25.5" x14ac:dyDescent="0.25">
      <c r="A45" s="2" t="s">
        <v>84</v>
      </c>
      <c r="B45" s="3" t="s">
        <v>85</v>
      </c>
      <c r="C45" s="11">
        <v>0</v>
      </c>
      <c r="D45" s="12">
        <v>4800000</v>
      </c>
      <c r="E45" s="13"/>
      <c r="F45" s="13"/>
      <c r="G45" s="14"/>
      <c r="H45" s="27">
        <f t="shared" si="4"/>
        <v>4800000</v>
      </c>
      <c r="I45" s="45"/>
      <c r="J45" s="48"/>
      <c r="K45" s="48">
        <v>2400000</v>
      </c>
      <c r="L45" s="55">
        <v>2400000</v>
      </c>
      <c r="M45" s="48"/>
      <c r="N45" s="48"/>
      <c r="O45" s="48"/>
      <c r="P45" s="48"/>
      <c r="Q45" s="48"/>
      <c r="R45" s="48"/>
      <c r="S45" s="48"/>
      <c r="T45" s="41">
        <v>0</v>
      </c>
      <c r="U45" s="15">
        <f t="shared" si="5"/>
        <v>4800000</v>
      </c>
      <c r="V45" s="53">
        <f t="shared" si="6"/>
        <v>0</v>
      </c>
    </row>
    <row r="46" spans="1:22" ht="25.5" x14ac:dyDescent="0.25">
      <c r="A46" s="2" t="s">
        <v>86</v>
      </c>
      <c r="B46" s="3" t="s">
        <v>87</v>
      </c>
      <c r="C46" s="11">
        <v>1900000</v>
      </c>
      <c r="D46" s="12"/>
      <c r="E46" s="13"/>
      <c r="F46" s="13"/>
      <c r="G46" s="14"/>
      <c r="H46" s="27">
        <f t="shared" si="4"/>
        <v>1900000</v>
      </c>
      <c r="I46" s="45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1">
        <v>1900000</v>
      </c>
      <c r="U46" s="15">
        <f t="shared" si="5"/>
        <v>1900000</v>
      </c>
      <c r="V46" s="53">
        <f t="shared" si="6"/>
        <v>0</v>
      </c>
    </row>
    <row r="47" spans="1:22" ht="25.5" x14ac:dyDescent="0.25">
      <c r="A47" s="2" t="s">
        <v>66</v>
      </c>
      <c r="B47" s="3" t="s">
        <v>88</v>
      </c>
      <c r="C47" s="11">
        <v>16000000</v>
      </c>
      <c r="D47" s="12"/>
      <c r="E47" s="13"/>
      <c r="F47" s="13"/>
      <c r="G47" s="14"/>
      <c r="H47" s="27">
        <f t="shared" si="4"/>
        <v>16000000</v>
      </c>
      <c r="I47" s="45"/>
      <c r="J47" s="48"/>
      <c r="K47" s="48"/>
      <c r="L47" s="48"/>
      <c r="M47" s="48"/>
      <c r="N47" s="48"/>
      <c r="O47" s="48">
        <v>3200000</v>
      </c>
      <c r="P47" s="48"/>
      <c r="Q47" s="48">
        <v>1425000</v>
      </c>
      <c r="R47" s="48">
        <v>1900000</v>
      </c>
      <c r="S47" s="48"/>
      <c r="T47" s="17">
        <v>9475000</v>
      </c>
      <c r="U47" s="15">
        <f t="shared" si="5"/>
        <v>16000000</v>
      </c>
      <c r="V47" s="53">
        <f t="shared" si="6"/>
        <v>0</v>
      </c>
    </row>
    <row r="48" spans="1:22" ht="25.5" x14ac:dyDescent="0.25">
      <c r="A48" s="2" t="s">
        <v>89</v>
      </c>
      <c r="B48" s="3" t="s">
        <v>90</v>
      </c>
      <c r="C48" s="11">
        <v>0</v>
      </c>
      <c r="D48" s="12">
        <v>6600000</v>
      </c>
      <c r="E48" s="13"/>
      <c r="F48" s="13"/>
      <c r="G48" s="14">
        <v>150000</v>
      </c>
      <c r="H48" s="27">
        <f t="shared" si="4"/>
        <v>6450000</v>
      </c>
      <c r="I48" s="45"/>
      <c r="J48" s="48"/>
      <c r="K48" s="48"/>
      <c r="L48" s="48"/>
      <c r="M48" s="48"/>
      <c r="N48" s="48"/>
      <c r="O48" s="48">
        <v>2153500</v>
      </c>
      <c r="P48" s="48"/>
      <c r="Q48" s="48"/>
      <c r="R48" s="48"/>
      <c r="S48" s="48"/>
      <c r="T48" s="41">
        <v>4296500</v>
      </c>
      <c r="U48" s="15">
        <f t="shared" si="5"/>
        <v>6450000</v>
      </c>
      <c r="V48" s="53">
        <f t="shared" si="6"/>
        <v>0</v>
      </c>
    </row>
    <row r="49" spans="1:22" ht="25.5" x14ac:dyDescent="0.25">
      <c r="A49" s="2" t="s">
        <v>50</v>
      </c>
      <c r="B49" s="3" t="s">
        <v>51</v>
      </c>
      <c r="C49" s="11">
        <v>2800000</v>
      </c>
      <c r="D49" s="12"/>
      <c r="E49" s="13"/>
      <c r="F49" s="13"/>
      <c r="G49" s="14"/>
      <c r="H49" s="27">
        <f t="shared" si="4"/>
        <v>2800000</v>
      </c>
      <c r="I49" s="45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1">
        <v>2800000</v>
      </c>
      <c r="U49" s="15">
        <f t="shared" si="5"/>
        <v>2800000</v>
      </c>
      <c r="V49" s="53">
        <f t="shared" si="6"/>
        <v>0</v>
      </c>
    </row>
    <row r="50" spans="1:22" ht="25.5" x14ac:dyDescent="0.25">
      <c r="A50" s="2" t="s">
        <v>111</v>
      </c>
      <c r="B50" s="3" t="s">
        <v>112</v>
      </c>
      <c r="C50" s="11">
        <v>0</v>
      </c>
      <c r="D50" s="12"/>
      <c r="E50" s="13"/>
      <c r="F50" s="13">
        <v>2100000</v>
      </c>
      <c r="G50" s="14"/>
      <c r="H50" s="27">
        <f t="shared" si="4"/>
        <v>2100000</v>
      </c>
      <c r="I50" s="45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1">
        <v>2100000</v>
      </c>
      <c r="U50" s="15">
        <f t="shared" ref="U50" si="9">SUM(I50:T50)</f>
        <v>2100000</v>
      </c>
      <c r="V50" s="53">
        <f t="shared" ref="V50" si="10">H50-U50</f>
        <v>0</v>
      </c>
    </row>
    <row r="51" spans="1:22" ht="25.5" x14ac:dyDescent="0.25">
      <c r="A51" s="2" t="s">
        <v>113</v>
      </c>
      <c r="B51" s="3" t="s">
        <v>114</v>
      </c>
      <c r="C51" s="11">
        <v>0</v>
      </c>
      <c r="D51" s="12"/>
      <c r="E51" s="13"/>
      <c r="F51" s="13">
        <v>150000</v>
      </c>
      <c r="G51" s="14"/>
      <c r="H51" s="27">
        <f t="shared" si="4"/>
        <v>150000</v>
      </c>
      <c r="I51" s="45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1">
        <v>150000</v>
      </c>
      <c r="U51" s="15">
        <f t="shared" ref="U51" si="11">SUM(I51:T51)</f>
        <v>150000</v>
      </c>
      <c r="V51" s="53">
        <f t="shared" ref="V51" si="12">H51-U51</f>
        <v>0</v>
      </c>
    </row>
    <row r="52" spans="1:22" ht="25.5" x14ac:dyDescent="0.25">
      <c r="A52" s="2" t="s">
        <v>91</v>
      </c>
      <c r="B52" s="3" t="s">
        <v>92</v>
      </c>
      <c r="C52" s="11">
        <v>3700000</v>
      </c>
      <c r="D52" s="12"/>
      <c r="E52" s="13"/>
      <c r="F52" s="13"/>
      <c r="G52" s="14">
        <v>1000000</v>
      </c>
      <c r="H52" s="27">
        <f t="shared" si="4"/>
        <v>2700000</v>
      </c>
      <c r="I52" s="45"/>
      <c r="J52" s="48"/>
      <c r="K52" s="48"/>
      <c r="L52" s="48"/>
      <c r="M52" s="48">
        <v>7612</v>
      </c>
      <c r="N52" s="48"/>
      <c r="O52" s="48"/>
      <c r="P52" s="48">
        <v>422959</v>
      </c>
      <c r="Q52" s="48">
        <v>420734</v>
      </c>
      <c r="R52" s="48"/>
      <c r="S52" s="48"/>
      <c r="T52" s="17">
        <v>1848695</v>
      </c>
      <c r="U52" s="15">
        <f t="shared" si="5"/>
        <v>2700000</v>
      </c>
      <c r="V52" s="53">
        <f t="shared" si="6"/>
        <v>0</v>
      </c>
    </row>
    <row r="53" spans="1:22" ht="25.5" x14ac:dyDescent="0.25">
      <c r="A53" s="2" t="s">
        <v>52</v>
      </c>
      <c r="B53" s="3" t="s">
        <v>53</v>
      </c>
      <c r="C53" s="11">
        <v>3700000</v>
      </c>
      <c r="D53" s="12"/>
      <c r="E53" s="13"/>
      <c r="F53" s="13"/>
      <c r="G53" s="14"/>
      <c r="H53" s="27">
        <f t="shared" si="4"/>
        <v>3700000</v>
      </c>
      <c r="I53" s="45"/>
      <c r="J53" s="48">
        <v>531199</v>
      </c>
      <c r="K53" s="48">
        <v>404959</v>
      </c>
      <c r="L53" s="55">
        <v>313969</v>
      </c>
      <c r="M53" s="48"/>
      <c r="N53" s="48">
        <v>327969</v>
      </c>
      <c r="O53" s="48">
        <v>235029</v>
      </c>
      <c r="P53" s="48"/>
      <c r="Q53" s="48"/>
      <c r="R53" s="48">
        <v>415209</v>
      </c>
      <c r="S53" s="48">
        <v>488357</v>
      </c>
      <c r="T53" s="17">
        <v>983309</v>
      </c>
      <c r="U53" s="15">
        <f t="shared" si="5"/>
        <v>3700000</v>
      </c>
      <c r="V53" s="53">
        <f t="shared" si="6"/>
        <v>0</v>
      </c>
    </row>
    <row r="54" spans="1:22" ht="25.5" x14ac:dyDescent="0.25">
      <c r="A54" s="2" t="s">
        <v>64</v>
      </c>
      <c r="B54" s="3" t="s">
        <v>65</v>
      </c>
      <c r="C54" s="11">
        <v>0</v>
      </c>
      <c r="D54" s="12">
        <v>300000</v>
      </c>
      <c r="E54" s="13"/>
      <c r="F54" s="13"/>
      <c r="G54" s="14"/>
      <c r="H54" s="27">
        <f t="shared" si="4"/>
        <v>300000</v>
      </c>
      <c r="I54" s="45"/>
      <c r="J54" s="48"/>
      <c r="K54" s="48"/>
      <c r="L54" s="48"/>
      <c r="M54" s="48"/>
      <c r="N54" s="48"/>
      <c r="O54" s="48">
        <v>300000</v>
      </c>
      <c r="P54" s="48"/>
      <c r="Q54" s="48"/>
      <c r="R54" s="48"/>
      <c r="S54" s="48"/>
      <c r="T54" s="17">
        <v>0</v>
      </c>
      <c r="U54" s="15">
        <f t="shared" si="5"/>
        <v>300000</v>
      </c>
      <c r="V54" s="53">
        <f t="shared" si="6"/>
        <v>0</v>
      </c>
    </row>
    <row r="55" spans="1:22" ht="25.5" x14ac:dyDescent="0.25">
      <c r="A55" s="2" t="s">
        <v>54</v>
      </c>
      <c r="B55" s="3" t="s">
        <v>55</v>
      </c>
      <c r="C55" s="11">
        <v>0</v>
      </c>
      <c r="D55" s="12">
        <v>959359</v>
      </c>
      <c r="E55" s="13"/>
      <c r="F55" s="13"/>
      <c r="G55" s="14"/>
      <c r="H55" s="27">
        <f t="shared" si="4"/>
        <v>959359</v>
      </c>
      <c r="I55" s="45">
        <v>406459</v>
      </c>
      <c r="J55" s="48"/>
      <c r="K55" s="48"/>
      <c r="L55" s="48"/>
      <c r="M55" s="48">
        <v>529317</v>
      </c>
      <c r="N55" s="48"/>
      <c r="O55" s="48">
        <v>23582</v>
      </c>
      <c r="P55" s="48"/>
      <c r="Q55" s="48"/>
      <c r="R55" s="48"/>
      <c r="S55" s="48"/>
      <c r="T55" s="17">
        <v>1</v>
      </c>
      <c r="U55" s="15">
        <f t="shared" si="5"/>
        <v>959359</v>
      </c>
      <c r="V55" s="53">
        <f t="shared" si="6"/>
        <v>0</v>
      </c>
    </row>
    <row r="56" spans="1:22" ht="25.5" x14ac:dyDescent="0.25">
      <c r="A56" s="50" t="s">
        <v>107</v>
      </c>
      <c r="B56" s="50" t="s">
        <v>108</v>
      </c>
      <c r="C56" s="11">
        <v>0</v>
      </c>
      <c r="D56" s="12">
        <v>2000000</v>
      </c>
      <c r="E56" s="13"/>
      <c r="F56" s="13"/>
      <c r="G56" s="14">
        <v>2000000</v>
      </c>
      <c r="H56" s="27">
        <f t="shared" si="4"/>
        <v>0</v>
      </c>
      <c r="I56" s="45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17">
        <v>0</v>
      </c>
      <c r="U56" s="15">
        <f t="shared" si="5"/>
        <v>0</v>
      </c>
      <c r="V56" s="53">
        <f t="shared" si="6"/>
        <v>0</v>
      </c>
    </row>
    <row r="57" spans="1:22" ht="25.5" x14ac:dyDescent="0.25">
      <c r="A57" s="2" t="s">
        <v>56</v>
      </c>
      <c r="B57" s="3" t="s">
        <v>57</v>
      </c>
      <c r="C57" s="11">
        <v>1000</v>
      </c>
      <c r="D57" s="12"/>
      <c r="E57" s="13"/>
      <c r="F57" s="13"/>
      <c r="G57" s="14"/>
      <c r="H57" s="27">
        <f t="shared" si="4"/>
        <v>1000</v>
      </c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17">
        <v>1000</v>
      </c>
      <c r="U57" s="11">
        <f t="shared" si="5"/>
        <v>1000</v>
      </c>
      <c r="V57" s="53">
        <f t="shared" si="6"/>
        <v>0</v>
      </c>
    </row>
    <row r="58" spans="1:22" ht="13.5" thickBot="1" x14ac:dyDescent="0.3">
      <c r="A58" s="6"/>
      <c r="B58" s="7"/>
      <c r="C58" s="19"/>
      <c r="D58" s="20"/>
      <c r="E58" s="21"/>
      <c r="F58" s="21"/>
      <c r="G58" s="22"/>
      <c r="H58" s="38"/>
      <c r="I58" s="3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2"/>
      <c r="U58" s="43"/>
      <c r="V58" s="56"/>
    </row>
    <row r="59" spans="1:22" ht="13.5" thickBot="1" x14ac:dyDescent="0.3">
      <c r="A59" s="66" t="s">
        <v>26</v>
      </c>
      <c r="B59" s="67"/>
      <c r="C59" s="23">
        <f t="shared" ref="C59:V59" si="13">SUM(C25:C58)</f>
        <v>129053000</v>
      </c>
      <c r="D59" s="24">
        <f t="shared" si="13"/>
        <v>82000928</v>
      </c>
      <c r="E59" s="25">
        <f t="shared" si="13"/>
        <v>220000</v>
      </c>
      <c r="F59" s="25">
        <f t="shared" si="13"/>
        <v>30398956</v>
      </c>
      <c r="G59" s="26">
        <f t="shared" si="13"/>
        <v>30398956</v>
      </c>
      <c r="H59" s="23">
        <f t="shared" si="13"/>
        <v>210833928</v>
      </c>
      <c r="I59" s="35">
        <f t="shared" si="13"/>
        <v>726807</v>
      </c>
      <c r="J59" s="36">
        <f t="shared" si="13"/>
        <v>532166</v>
      </c>
      <c r="K59" s="36">
        <f t="shared" si="13"/>
        <v>2997485.53</v>
      </c>
      <c r="L59" s="36">
        <f t="shared" si="13"/>
        <v>2810716</v>
      </c>
      <c r="M59" s="36">
        <f t="shared" si="13"/>
        <v>5433676</v>
      </c>
      <c r="N59" s="36">
        <f t="shared" si="13"/>
        <v>4502808</v>
      </c>
      <c r="O59" s="36">
        <f t="shared" si="13"/>
        <v>10422404</v>
      </c>
      <c r="P59" s="36">
        <f t="shared" si="13"/>
        <v>13007028</v>
      </c>
      <c r="Q59" s="36">
        <f t="shared" si="13"/>
        <v>6742481</v>
      </c>
      <c r="R59" s="36">
        <f t="shared" si="13"/>
        <v>2411956</v>
      </c>
      <c r="S59" s="36">
        <f t="shared" si="13"/>
        <v>964476</v>
      </c>
      <c r="T59" s="57">
        <f t="shared" si="13"/>
        <v>160281924.47</v>
      </c>
      <c r="U59" s="23">
        <f t="shared" si="13"/>
        <v>210833928</v>
      </c>
      <c r="V59" s="58">
        <f t="shared" si="13"/>
        <v>0</v>
      </c>
    </row>
    <row r="64" spans="1:22" ht="24" x14ac:dyDescent="0.25">
      <c r="B64" s="103" t="s">
        <v>120</v>
      </c>
    </row>
    <row r="65" spans="1:2" x14ac:dyDescent="0.25">
      <c r="B65" s="101"/>
    </row>
    <row r="67" spans="1:2" x14ac:dyDescent="0.25">
      <c r="A67" s="102" t="s">
        <v>118</v>
      </c>
      <c r="B67" s="102" t="s">
        <v>119</v>
      </c>
    </row>
  </sheetData>
  <mergeCells count="73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C23:C24"/>
    <mergeCell ref="D23:G23"/>
    <mergeCell ref="H23:H24"/>
    <mergeCell ref="I23:I24"/>
    <mergeCell ref="D19:E19"/>
    <mergeCell ref="F19:G19"/>
    <mergeCell ref="V23:V24"/>
    <mergeCell ref="A59:B59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zoomScale="97" zoomScaleNormal="97" workbookViewId="0">
      <selection activeCell="W68" sqref="A1:W68"/>
    </sheetView>
  </sheetViews>
  <sheetFormatPr baseColWidth="10" defaultColWidth="11.42578125" defaultRowHeight="12.75" x14ac:dyDescent="0.25"/>
  <cols>
    <col min="1" max="1" width="17.85546875" style="1" customWidth="1"/>
    <col min="2" max="2" width="34.140625" style="1" customWidth="1"/>
    <col min="3" max="3" width="15.5703125" style="1" customWidth="1"/>
    <col min="4" max="4" width="10.7109375" style="1" customWidth="1"/>
    <col min="5" max="5" width="9.7109375" style="1" customWidth="1"/>
    <col min="6" max="6" width="10.85546875" style="1" customWidth="1"/>
    <col min="7" max="7" width="12.7109375" style="1" customWidth="1"/>
    <col min="8" max="8" width="16.140625" style="1" customWidth="1"/>
    <col min="9" max="9" width="11.85546875" style="1" customWidth="1"/>
    <col min="10" max="10" width="8.7109375" style="1" customWidth="1"/>
    <col min="11" max="11" width="11.7109375" style="1" customWidth="1"/>
    <col min="12" max="12" width="9.7109375" style="1" customWidth="1"/>
    <col min="13" max="18" width="10.7109375" style="1" customWidth="1"/>
    <col min="19" max="19" width="11.7109375" style="1" customWidth="1"/>
    <col min="20" max="20" width="11.85546875" style="1" customWidth="1"/>
    <col min="21" max="21" width="12.5703125" style="1" customWidth="1"/>
    <col min="22" max="22" width="13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47">
        <v>234000</v>
      </c>
      <c r="Q8" s="47">
        <v>368000</v>
      </c>
      <c r="R8" s="47">
        <v>124000</v>
      </c>
      <c r="S8" s="47">
        <v>165000</v>
      </c>
      <c r="T8" s="47">
        <v>258000</v>
      </c>
      <c r="U8" s="11">
        <f>SUM(I8:T8)</f>
        <v>2489000</v>
      </c>
      <c r="V8" s="11">
        <f>H8-U8</f>
        <v>11000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0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48">
        <v>1100000</v>
      </c>
      <c r="Q9" s="48"/>
      <c r="R9" s="48"/>
      <c r="S9" s="48">
        <v>2000000</v>
      </c>
      <c r="T9" s="48"/>
      <c r="U9" s="15">
        <f t="shared" ref="U9:U19" si="1">SUM(I9:T9)</f>
        <v>7071000</v>
      </c>
      <c r="V9" s="15">
        <f t="shared" ref="V9:V19" si="2">H9-U9</f>
        <v>-1571000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0"/>
        <v>90238005</v>
      </c>
      <c r="I10" s="45"/>
      <c r="J10" s="48"/>
      <c r="K10" s="48">
        <v>90238005</v>
      </c>
      <c r="L10" s="48"/>
      <c r="M10" s="48"/>
      <c r="N10" s="48"/>
      <c r="O10" s="48"/>
      <c r="P10" s="48"/>
      <c r="Q10" s="48"/>
      <c r="R10" s="48"/>
      <c r="S10" s="48"/>
      <c r="T10" s="48"/>
      <c r="U10" s="15">
        <f t="shared" si="1"/>
        <v>90238005</v>
      </c>
      <c r="V10" s="15">
        <f t="shared" si="2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0"/>
        <v>30629373</v>
      </c>
      <c r="I11" s="45"/>
      <c r="J11" s="48"/>
      <c r="K11" s="48">
        <v>30629373</v>
      </c>
      <c r="L11" s="48"/>
      <c r="M11" s="48"/>
      <c r="N11" s="48"/>
      <c r="O11" s="48"/>
      <c r="P11" s="48"/>
      <c r="Q11" s="48"/>
      <c r="R11" s="48"/>
      <c r="S11" s="48"/>
      <c r="T11" s="48"/>
      <c r="U11" s="15">
        <f>SUM(I11:T11)</f>
        <v>30629373</v>
      </c>
      <c r="V11" s="15">
        <f t="shared" si="2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0"/>
        <v>25348956</v>
      </c>
      <c r="I12" s="45"/>
      <c r="J12" s="48"/>
      <c r="K12" s="48">
        <v>25348956</v>
      </c>
      <c r="L12" s="48"/>
      <c r="M12" s="48"/>
      <c r="N12" s="48"/>
      <c r="O12" s="48"/>
      <c r="P12" s="48"/>
      <c r="Q12" s="48"/>
      <c r="R12" s="48"/>
      <c r="S12" s="48"/>
      <c r="T12" s="48"/>
      <c r="U12" s="15">
        <f t="shared" si="1"/>
        <v>25348956</v>
      </c>
      <c r="V12" s="15">
        <f t="shared" si="2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>
        <v>220000</v>
      </c>
      <c r="G13" s="85"/>
      <c r="H13" s="31">
        <f t="shared" si="0"/>
        <v>31780000</v>
      </c>
      <c r="I13" s="45"/>
      <c r="J13" s="48"/>
      <c r="K13" s="48"/>
      <c r="L13" s="48"/>
      <c r="M13" s="48"/>
      <c r="N13" s="48"/>
      <c r="O13" s="48"/>
      <c r="P13" s="48">
        <v>31780000</v>
      </c>
      <c r="Q13" s="48"/>
      <c r="R13" s="48"/>
      <c r="S13" s="48"/>
      <c r="T13" s="48"/>
      <c r="U13" s="15">
        <f t="shared" si="1"/>
        <v>31780000</v>
      </c>
      <c r="V13" s="15">
        <f t="shared" si="2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0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48">
        <v>1285.6099999999999</v>
      </c>
      <c r="Q14" s="48">
        <v>1102.22</v>
      </c>
      <c r="R14" s="48">
        <v>1129</v>
      </c>
      <c r="S14" s="48">
        <v>1092</v>
      </c>
      <c r="T14" s="48">
        <v>1050</v>
      </c>
      <c r="U14" s="15">
        <f t="shared" si="1"/>
        <v>11546.49</v>
      </c>
      <c r="V14" s="15">
        <f t="shared" si="2"/>
        <v>38453.51</v>
      </c>
    </row>
    <row r="15" spans="1:22" ht="25.5" x14ac:dyDescent="0.25">
      <c r="A15" s="4" t="s">
        <v>93</v>
      </c>
      <c r="B15" s="5" t="s">
        <v>94</v>
      </c>
      <c r="C15" s="15">
        <v>0</v>
      </c>
      <c r="D15" s="83">
        <v>4000000</v>
      </c>
      <c r="E15" s="84"/>
      <c r="F15" s="84"/>
      <c r="G15" s="85"/>
      <c r="H15" s="31">
        <f t="shared" si="0"/>
        <v>4000000</v>
      </c>
      <c r="I15" s="45"/>
      <c r="J15" s="48"/>
      <c r="K15" s="48">
        <v>4000000</v>
      </c>
      <c r="L15" s="48"/>
      <c r="M15" s="48"/>
      <c r="N15" s="48"/>
      <c r="O15" s="48"/>
      <c r="P15" s="48"/>
      <c r="Q15" s="48"/>
      <c r="R15" s="48"/>
      <c r="S15" s="48"/>
      <c r="T15" s="48"/>
      <c r="U15" s="15">
        <f t="shared" si="1"/>
        <v>4000000</v>
      </c>
      <c r="V15" s="15">
        <f t="shared" si="2"/>
        <v>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0"/>
        <v>4315964</v>
      </c>
      <c r="I16" s="46">
        <v>4314964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15">
        <f t="shared" si="1"/>
        <v>4314964</v>
      </c>
      <c r="V16" s="15">
        <f t="shared" si="2"/>
        <v>1000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0"/>
        <v>5760359</v>
      </c>
      <c r="I17" s="46">
        <v>5759359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15">
        <f t="shared" si="1"/>
        <v>5759359</v>
      </c>
      <c r="V17" s="15">
        <f t="shared" si="2"/>
        <v>1000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0"/>
        <v>10711271</v>
      </c>
      <c r="I18" s="46">
        <v>10710271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15">
        <f t="shared" si="1"/>
        <v>10710271</v>
      </c>
      <c r="V18" s="15">
        <f t="shared" si="2"/>
        <v>1000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0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1"/>
        <v>0</v>
      </c>
      <c r="V19" s="15">
        <f t="shared" si="2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82000928</v>
      </c>
      <c r="E20" s="80"/>
      <c r="F20" s="79">
        <f>SUM(F8:G19)</f>
        <v>220000</v>
      </c>
      <c r="G20" s="80"/>
      <c r="H20" s="23">
        <f t="shared" ref="H20:V20" si="3">SUM(H8:H19)</f>
        <v>210833928</v>
      </c>
      <c r="I20" s="35">
        <f t="shared" si="3"/>
        <v>23164791.399999999</v>
      </c>
      <c r="J20" s="36">
        <f t="shared" si="3"/>
        <v>442081.21</v>
      </c>
      <c r="K20" s="36">
        <f t="shared" si="3"/>
        <v>150981458.21000001</v>
      </c>
      <c r="L20" s="36">
        <f t="shared" si="3"/>
        <v>758387.19999999995</v>
      </c>
      <c r="M20" s="36">
        <f t="shared" si="3"/>
        <v>752423.22</v>
      </c>
      <c r="N20" s="36">
        <f t="shared" si="3"/>
        <v>46338.19</v>
      </c>
      <c r="O20" s="36">
        <f t="shared" si="3"/>
        <v>172336.23</v>
      </c>
      <c r="P20" s="36">
        <f t="shared" si="3"/>
        <v>33115285.609999999</v>
      </c>
      <c r="Q20" s="36">
        <f t="shared" si="3"/>
        <v>369102.22</v>
      </c>
      <c r="R20" s="36">
        <f t="shared" si="3"/>
        <v>125129</v>
      </c>
      <c r="S20" s="36">
        <f t="shared" si="3"/>
        <v>2166092</v>
      </c>
      <c r="T20" s="37">
        <f t="shared" si="3"/>
        <v>259050</v>
      </c>
      <c r="U20" s="23">
        <f t="shared" si="3"/>
        <v>212352474.49000001</v>
      </c>
      <c r="V20" s="23">
        <f t="shared" si="3"/>
        <v>-1518546.49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26.25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>
        <v>4800000</v>
      </c>
      <c r="H25" s="27">
        <f>C25+D25-E25+F25-G25</f>
        <v>0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62"/>
      <c r="U25" s="11">
        <f>SUM(I25:T25)</f>
        <v>0</v>
      </c>
      <c r="V25" s="53">
        <f>H25-U25</f>
        <v>0</v>
      </c>
    </row>
    <row r="26" spans="1:22" ht="25.5" x14ac:dyDescent="0.25">
      <c r="A26" s="2" t="s">
        <v>62</v>
      </c>
      <c r="B26" s="3" t="s">
        <v>115</v>
      </c>
      <c r="C26" s="11">
        <v>0</v>
      </c>
      <c r="D26" s="12">
        <v>18000000</v>
      </c>
      <c r="E26" s="13"/>
      <c r="F26" s="13"/>
      <c r="G26" s="14">
        <v>10000000</v>
      </c>
      <c r="H26" s="27">
        <f>C26+D26-E26+F26-G26</f>
        <v>8000000</v>
      </c>
      <c r="I26" s="54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62">
        <v>1520000</v>
      </c>
      <c r="U26" s="15">
        <f>SUM(I26:T26)</f>
        <v>1520000</v>
      </c>
      <c r="V26" s="53">
        <f>H26-U26</f>
        <v>6480000</v>
      </c>
    </row>
    <row r="27" spans="1:22" ht="25.5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7" si="4">C27+D27-E27+F27-G27</f>
        <v>8600000</v>
      </c>
      <c r="I27" s="45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63">
        <v>8500000</v>
      </c>
      <c r="U27" s="15">
        <f t="shared" ref="U27:U57" si="5">SUM(I27:T27)</f>
        <v>8500000</v>
      </c>
      <c r="V27" s="53">
        <f t="shared" ref="V27:V57" si="6">H27-U27</f>
        <v>100000</v>
      </c>
    </row>
    <row r="28" spans="1:22" ht="25.5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>
        <v>10348956</v>
      </c>
      <c r="G28" s="14"/>
      <c r="H28" s="27">
        <f t="shared" si="4"/>
        <v>25348956</v>
      </c>
      <c r="I28" s="4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63">
        <v>18955219</v>
      </c>
      <c r="U28" s="15">
        <f t="shared" si="5"/>
        <v>18955219</v>
      </c>
      <c r="V28" s="53">
        <f t="shared" si="6"/>
        <v>6393737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4"/>
        <v>12500000</v>
      </c>
      <c r="I29" s="45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63">
        <v>12500000</v>
      </c>
      <c r="U29" s="15">
        <f t="shared" si="5"/>
        <v>12500000</v>
      </c>
      <c r="V29" s="53">
        <f t="shared" si="6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>
        <v>4800000</v>
      </c>
      <c r="G30" s="14"/>
      <c r="H30" s="27">
        <f t="shared" si="4"/>
        <v>16800000</v>
      </c>
      <c r="I30" s="45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63">
        <v>9383500</v>
      </c>
      <c r="U30" s="15">
        <f t="shared" si="5"/>
        <v>9383500</v>
      </c>
      <c r="V30" s="53">
        <f t="shared" si="6"/>
        <v>7416500</v>
      </c>
    </row>
    <row r="31" spans="1:22" ht="25.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4"/>
        <v>1000</v>
      </c>
      <c r="I31" s="4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63"/>
      <c r="U31" s="15">
        <f t="shared" si="5"/>
        <v>0</v>
      </c>
      <c r="V31" s="53">
        <f t="shared" si="6"/>
        <v>1000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4"/>
        <v>50000</v>
      </c>
      <c r="I32" s="4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63"/>
      <c r="U32" s="15">
        <f t="shared" si="5"/>
        <v>0</v>
      </c>
      <c r="V32" s="53">
        <f t="shared" si="6"/>
        <v>50000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>
        <v>12000000</v>
      </c>
      <c r="G33" s="14"/>
      <c r="H33" s="27">
        <f t="shared" si="4"/>
        <v>22629373</v>
      </c>
      <c r="I33" s="45"/>
      <c r="J33" s="48"/>
      <c r="K33" s="48"/>
      <c r="L33" s="48"/>
      <c r="M33" s="48"/>
      <c r="N33" s="48"/>
      <c r="O33" s="48"/>
      <c r="P33" s="48">
        <v>10059000</v>
      </c>
      <c r="Q33" s="48"/>
      <c r="R33" s="48"/>
      <c r="S33" s="48"/>
      <c r="T33" s="63">
        <v>11070000</v>
      </c>
      <c r="U33" s="15">
        <f t="shared" si="5"/>
        <v>21129000</v>
      </c>
      <c r="V33" s="53">
        <f t="shared" si="6"/>
        <v>1500373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>
        <v>5348956</v>
      </c>
      <c r="H34" s="27">
        <f t="shared" si="4"/>
        <v>0</v>
      </c>
      <c r="I34" s="4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63"/>
      <c r="U34" s="15">
        <f t="shared" si="5"/>
        <v>0</v>
      </c>
      <c r="V34" s="53">
        <f t="shared" si="6"/>
        <v>0</v>
      </c>
    </row>
    <row r="35" spans="1:22" ht="25.5" x14ac:dyDescent="0.25">
      <c r="A35" s="60" t="s">
        <v>109</v>
      </c>
      <c r="B35" s="61" t="s">
        <v>110</v>
      </c>
      <c r="C35" s="11">
        <v>0</v>
      </c>
      <c r="D35" s="12">
        <v>4000000</v>
      </c>
      <c r="E35" s="13"/>
      <c r="F35" s="13"/>
      <c r="G35" s="14"/>
      <c r="H35" s="27">
        <f t="shared" si="4"/>
        <v>4000000</v>
      </c>
      <c r="I35" s="45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63"/>
      <c r="U35" s="15">
        <f t="shared" si="5"/>
        <v>0</v>
      </c>
      <c r="V35" s="53">
        <f t="shared" si="6"/>
        <v>4000000</v>
      </c>
    </row>
    <row r="36" spans="1:22" ht="25.5" x14ac:dyDescent="0.25">
      <c r="A36" s="2" t="s">
        <v>40</v>
      </c>
      <c r="B36" s="3" t="s">
        <v>41</v>
      </c>
      <c r="C36" s="11">
        <v>20400000</v>
      </c>
      <c r="D36" s="12">
        <v>1238005</v>
      </c>
      <c r="E36" s="13"/>
      <c r="F36" s="13"/>
      <c r="G36" s="14"/>
      <c r="H36" s="27">
        <f t="shared" si="4"/>
        <v>21638005</v>
      </c>
      <c r="I36" s="45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63">
        <v>3315000</v>
      </c>
      <c r="U36" s="15">
        <f t="shared" si="5"/>
        <v>3315000</v>
      </c>
      <c r="V36" s="53">
        <f t="shared" si="6"/>
        <v>18323005</v>
      </c>
    </row>
    <row r="37" spans="1:22" ht="25.5" x14ac:dyDescent="0.25">
      <c r="A37" s="2" t="s">
        <v>42</v>
      </c>
      <c r="B37" s="3" t="s">
        <v>43</v>
      </c>
      <c r="C37" s="11">
        <v>6600000</v>
      </c>
      <c r="D37" s="12"/>
      <c r="E37" s="13">
        <v>220000</v>
      </c>
      <c r="F37" s="13"/>
      <c r="G37" s="14">
        <v>2100000</v>
      </c>
      <c r="H37" s="27">
        <f t="shared" si="4"/>
        <v>4280000</v>
      </c>
      <c r="I37" s="45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63"/>
      <c r="U37" s="15">
        <f t="shared" si="5"/>
        <v>0</v>
      </c>
      <c r="V37" s="53">
        <f t="shared" si="6"/>
        <v>4280000</v>
      </c>
    </row>
    <row r="38" spans="1:22" ht="25.5" x14ac:dyDescent="0.25">
      <c r="A38" s="2" t="s">
        <v>82</v>
      </c>
      <c r="B38" s="3" t="s">
        <v>83</v>
      </c>
      <c r="C38" s="11">
        <v>0</v>
      </c>
      <c r="D38" s="12">
        <v>3700000</v>
      </c>
      <c r="E38" s="13"/>
      <c r="F38" s="13"/>
      <c r="G38" s="14"/>
      <c r="H38" s="27">
        <f t="shared" si="4"/>
        <v>3700000</v>
      </c>
      <c r="I38" s="45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63">
        <v>3700000</v>
      </c>
      <c r="U38" s="15">
        <f t="shared" si="5"/>
        <v>3700000</v>
      </c>
      <c r="V38" s="53">
        <f t="shared" si="6"/>
        <v>0</v>
      </c>
    </row>
    <row r="39" spans="1:22" ht="25.5" x14ac:dyDescent="0.25">
      <c r="A39" s="2" t="s">
        <v>60</v>
      </c>
      <c r="B39" s="3" t="s">
        <v>61</v>
      </c>
      <c r="C39" s="11">
        <v>1000</v>
      </c>
      <c r="D39" s="12">
        <v>4110271</v>
      </c>
      <c r="E39" s="13"/>
      <c r="F39" s="13"/>
      <c r="G39" s="14"/>
      <c r="H39" s="27">
        <f t="shared" si="4"/>
        <v>4111271</v>
      </c>
      <c r="I39" s="45"/>
      <c r="J39" s="48"/>
      <c r="K39" s="48"/>
      <c r="L39" s="48"/>
      <c r="M39" s="48"/>
      <c r="N39" s="48">
        <v>4070000</v>
      </c>
      <c r="O39" s="48"/>
      <c r="P39" s="48"/>
      <c r="Q39" s="48"/>
      <c r="R39" s="48"/>
      <c r="S39" s="48"/>
      <c r="T39" s="63">
        <v>40000</v>
      </c>
      <c r="U39" s="15">
        <f t="shared" si="5"/>
        <v>4110000</v>
      </c>
      <c r="V39" s="53">
        <f t="shared" si="6"/>
        <v>1271</v>
      </c>
    </row>
    <row r="40" spans="1:22" ht="25.5" x14ac:dyDescent="0.25">
      <c r="A40" s="50" t="s">
        <v>105</v>
      </c>
      <c r="B40" s="50" t="s">
        <v>106</v>
      </c>
      <c r="C40" s="11">
        <v>0</v>
      </c>
      <c r="D40" s="12">
        <v>5000000</v>
      </c>
      <c r="E40" s="13"/>
      <c r="F40" s="13"/>
      <c r="G40" s="14">
        <v>5000000</v>
      </c>
      <c r="H40" s="27">
        <f t="shared" si="4"/>
        <v>0</v>
      </c>
      <c r="I40" s="4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15">
        <f t="shared" si="5"/>
        <v>0</v>
      </c>
      <c r="V40" s="53">
        <f t="shared" si="6"/>
        <v>0</v>
      </c>
    </row>
    <row r="41" spans="1:22" ht="25.5" x14ac:dyDescent="0.25">
      <c r="A41" s="2" t="s">
        <v>44</v>
      </c>
      <c r="B41" s="3" t="s">
        <v>45</v>
      </c>
      <c r="C41" s="11">
        <v>1500000</v>
      </c>
      <c r="D41" s="12"/>
      <c r="E41" s="13"/>
      <c r="F41" s="13">
        <v>1000000</v>
      </c>
      <c r="G41" s="14"/>
      <c r="H41" s="27">
        <f>C41+D41-E41+F41-G41</f>
        <v>2500000</v>
      </c>
      <c r="I41" s="45">
        <v>300118</v>
      </c>
      <c r="J41" s="48">
        <v>967</v>
      </c>
      <c r="K41" s="48">
        <v>192526.53</v>
      </c>
      <c r="L41" s="55">
        <v>96747</v>
      </c>
      <c r="M41" s="48"/>
      <c r="N41" s="48"/>
      <c r="O41" s="48">
        <v>93000</v>
      </c>
      <c r="P41" s="48">
        <v>125069</v>
      </c>
      <c r="Q41" s="48">
        <v>96747</v>
      </c>
      <c r="R41" s="48">
        <v>10052</v>
      </c>
      <c r="S41" s="48">
        <v>476119</v>
      </c>
      <c r="T41" s="48">
        <v>1027327</v>
      </c>
      <c r="U41" s="15">
        <f t="shared" si="5"/>
        <v>2418672.5300000003</v>
      </c>
      <c r="V41" s="53">
        <f t="shared" si="6"/>
        <v>81327.469999999739</v>
      </c>
    </row>
    <row r="42" spans="1:22" ht="25.5" x14ac:dyDescent="0.25">
      <c r="A42" s="2" t="s">
        <v>58</v>
      </c>
      <c r="B42" s="3" t="s">
        <v>59</v>
      </c>
      <c r="C42" s="11">
        <v>0</v>
      </c>
      <c r="D42" s="12">
        <v>314964</v>
      </c>
      <c r="E42" s="13"/>
      <c r="F42" s="13"/>
      <c r="G42" s="14"/>
      <c r="H42" s="27">
        <f t="shared" si="4"/>
        <v>314964</v>
      </c>
      <c r="I42" s="45">
        <v>20230</v>
      </c>
      <c r="J42" s="48"/>
      <c r="K42" s="48"/>
      <c r="L42" s="48"/>
      <c r="M42" s="48">
        <v>96747</v>
      </c>
      <c r="N42" s="48">
        <v>104839</v>
      </c>
      <c r="O42" s="48">
        <v>3747</v>
      </c>
      <c r="P42" s="48"/>
      <c r="Q42" s="48"/>
      <c r="R42" s="48">
        <v>86695</v>
      </c>
      <c r="S42" s="48"/>
      <c r="T42" s="48"/>
      <c r="U42" s="15">
        <f t="shared" si="5"/>
        <v>312258</v>
      </c>
      <c r="V42" s="53">
        <f t="shared" si="6"/>
        <v>2706</v>
      </c>
    </row>
    <row r="43" spans="1:22" ht="25.5" x14ac:dyDescent="0.25">
      <c r="A43" s="2" t="s">
        <v>46</v>
      </c>
      <c r="B43" s="3" t="s">
        <v>47</v>
      </c>
      <c r="C43" s="11">
        <v>5500000</v>
      </c>
      <c r="D43" s="12"/>
      <c r="E43" s="13"/>
      <c r="F43" s="13"/>
      <c r="G43" s="14"/>
      <c r="H43" s="27">
        <f t="shared" si="4"/>
        <v>5500000</v>
      </c>
      <c r="I43" s="45"/>
      <c r="J43" s="48"/>
      <c r="K43" s="48"/>
      <c r="L43" s="48"/>
      <c r="M43" s="48"/>
      <c r="N43" s="48"/>
      <c r="O43" s="48">
        <v>4413546</v>
      </c>
      <c r="P43" s="48"/>
      <c r="Q43" s="48"/>
      <c r="R43" s="48"/>
      <c r="S43" s="48"/>
      <c r="T43" s="63"/>
      <c r="U43" s="15">
        <f t="shared" si="5"/>
        <v>4413546</v>
      </c>
      <c r="V43" s="53">
        <f t="shared" si="6"/>
        <v>1086454</v>
      </c>
    </row>
    <row r="44" spans="1:22" ht="25.5" x14ac:dyDescent="0.25">
      <c r="A44" s="2" t="s">
        <v>48</v>
      </c>
      <c r="B44" s="3" t="s">
        <v>49</v>
      </c>
      <c r="C44" s="11">
        <v>29000000</v>
      </c>
      <c r="D44" s="12"/>
      <c r="E44" s="13"/>
      <c r="F44" s="13"/>
      <c r="G44" s="14"/>
      <c r="H44" s="27">
        <f t="shared" si="4"/>
        <v>29000000</v>
      </c>
      <c r="I44" s="45"/>
      <c r="J44" s="48"/>
      <c r="K44" s="48"/>
      <c r="L44" s="48"/>
      <c r="M44" s="48">
        <v>4800000</v>
      </c>
      <c r="N44" s="48"/>
      <c r="O44" s="48"/>
      <c r="P44" s="48">
        <v>2400000</v>
      </c>
      <c r="Q44" s="48">
        <v>4800000</v>
      </c>
      <c r="R44" s="48"/>
      <c r="S44" s="48"/>
      <c r="T44" s="63">
        <v>7200000</v>
      </c>
      <c r="U44" s="15">
        <f t="shared" si="5"/>
        <v>19200000</v>
      </c>
      <c r="V44" s="53">
        <f t="shared" si="6"/>
        <v>9800000</v>
      </c>
    </row>
    <row r="45" spans="1:22" ht="25.5" x14ac:dyDescent="0.25">
      <c r="A45" s="2" t="s">
        <v>84</v>
      </c>
      <c r="B45" s="3" t="s">
        <v>85</v>
      </c>
      <c r="C45" s="11">
        <v>0</v>
      </c>
      <c r="D45" s="12">
        <v>4800000</v>
      </c>
      <c r="E45" s="13"/>
      <c r="F45" s="13"/>
      <c r="G45" s="14"/>
      <c r="H45" s="27">
        <f t="shared" si="4"/>
        <v>4800000</v>
      </c>
      <c r="I45" s="45"/>
      <c r="J45" s="48"/>
      <c r="K45" s="48">
        <v>2400000</v>
      </c>
      <c r="L45" s="55">
        <v>2400000</v>
      </c>
      <c r="M45" s="48"/>
      <c r="N45" s="48"/>
      <c r="O45" s="48"/>
      <c r="P45" s="48"/>
      <c r="Q45" s="48"/>
      <c r="R45" s="48"/>
      <c r="S45" s="48"/>
      <c r="T45" s="63"/>
      <c r="U45" s="15">
        <f t="shared" si="5"/>
        <v>4800000</v>
      </c>
      <c r="V45" s="53">
        <f t="shared" si="6"/>
        <v>0</v>
      </c>
    </row>
    <row r="46" spans="1:22" ht="25.5" x14ac:dyDescent="0.25">
      <c r="A46" s="2" t="s">
        <v>86</v>
      </c>
      <c r="B46" s="3" t="s">
        <v>87</v>
      </c>
      <c r="C46" s="11">
        <v>1900000</v>
      </c>
      <c r="D46" s="12"/>
      <c r="E46" s="13"/>
      <c r="F46" s="13"/>
      <c r="G46" s="14"/>
      <c r="H46" s="27">
        <f t="shared" si="4"/>
        <v>1900000</v>
      </c>
      <c r="I46" s="45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63"/>
      <c r="U46" s="15">
        <f t="shared" si="5"/>
        <v>0</v>
      </c>
      <c r="V46" s="53">
        <f t="shared" si="6"/>
        <v>1900000</v>
      </c>
    </row>
    <row r="47" spans="1:22" ht="25.5" x14ac:dyDescent="0.25">
      <c r="A47" s="2" t="s">
        <v>66</v>
      </c>
      <c r="B47" s="3" t="s">
        <v>88</v>
      </c>
      <c r="C47" s="11">
        <v>16000000</v>
      </c>
      <c r="D47" s="12"/>
      <c r="E47" s="13"/>
      <c r="F47" s="13"/>
      <c r="G47" s="14"/>
      <c r="H47" s="27">
        <f t="shared" si="4"/>
        <v>16000000</v>
      </c>
      <c r="I47" s="45"/>
      <c r="J47" s="48"/>
      <c r="K47" s="48"/>
      <c r="L47" s="48"/>
      <c r="M47" s="48"/>
      <c r="N47" s="48"/>
      <c r="O47" s="48">
        <v>3200000</v>
      </c>
      <c r="P47" s="48"/>
      <c r="Q47" s="48">
        <v>1425000</v>
      </c>
      <c r="R47" s="48">
        <v>1900000</v>
      </c>
      <c r="S47" s="48"/>
      <c r="T47" s="48"/>
      <c r="U47" s="15">
        <f t="shared" si="5"/>
        <v>6525000</v>
      </c>
      <c r="V47" s="53">
        <f t="shared" si="6"/>
        <v>9475000</v>
      </c>
    </row>
    <row r="48" spans="1:22" ht="25.5" x14ac:dyDescent="0.25">
      <c r="A48" s="2" t="s">
        <v>89</v>
      </c>
      <c r="B48" s="3" t="s">
        <v>90</v>
      </c>
      <c r="C48" s="11">
        <v>0</v>
      </c>
      <c r="D48" s="12">
        <v>6600000</v>
      </c>
      <c r="E48" s="13"/>
      <c r="F48" s="13"/>
      <c r="G48" s="14">
        <v>150000</v>
      </c>
      <c r="H48" s="27">
        <f t="shared" si="4"/>
        <v>6450000</v>
      </c>
      <c r="I48" s="45"/>
      <c r="J48" s="48"/>
      <c r="K48" s="48"/>
      <c r="L48" s="48"/>
      <c r="M48" s="48"/>
      <c r="N48" s="48"/>
      <c r="O48" s="48">
        <v>2153500</v>
      </c>
      <c r="P48" s="48"/>
      <c r="Q48" s="48"/>
      <c r="R48" s="48"/>
      <c r="S48" s="48"/>
      <c r="T48" s="63">
        <v>4296500</v>
      </c>
      <c r="U48" s="15">
        <f t="shared" si="5"/>
        <v>6450000</v>
      </c>
      <c r="V48" s="53">
        <f t="shared" si="6"/>
        <v>0</v>
      </c>
    </row>
    <row r="49" spans="1:22" ht="25.5" x14ac:dyDescent="0.25">
      <c r="A49" s="2" t="s">
        <v>50</v>
      </c>
      <c r="B49" s="3" t="s">
        <v>51</v>
      </c>
      <c r="C49" s="11">
        <v>2800000</v>
      </c>
      <c r="D49" s="12"/>
      <c r="E49" s="13"/>
      <c r="F49" s="13"/>
      <c r="G49" s="14"/>
      <c r="H49" s="27">
        <f t="shared" si="4"/>
        <v>2800000</v>
      </c>
      <c r="I49" s="45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63">
        <v>2532000</v>
      </c>
      <c r="U49" s="15">
        <f t="shared" si="5"/>
        <v>2532000</v>
      </c>
      <c r="V49" s="53">
        <f t="shared" si="6"/>
        <v>268000</v>
      </c>
    </row>
    <row r="50" spans="1:22" ht="25.5" x14ac:dyDescent="0.25">
      <c r="A50" s="2" t="s">
        <v>111</v>
      </c>
      <c r="B50" s="3" t="s">
        <v>112</v>
      </c>
      <c r="C50" s="11">
        <v>0</v>
      </c>
      <c r="D50" s="12"/>
      <c r="E50" s="13"/>
      <c r="F50" s="13">
        <v>2100000</v>
      </c>
      <c r="G50" s="14"/>
      <c r="H50" s="27">
        <f t="shared" si="4"/>
        <v>2100000</v>
      </c>
      <c r="I50" s="45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63">
        <v>2100000</v>
      </c>
      <c r="U50" s="15">
        <f t="shared" si="5"/>
        <v>2100000</v>
      </c>
      <c r="V50" s="53">
        <f t="shared" si="6"/>
        <v>0</v>
      </c>
    </row>
    <row r="51" spans="1:22" ht="25.5" x14ac:dyDescent="0.25">
      <c r="A51" s="2" t="s">
        <v>113</v>
      </c>
      <c r="B51" s="3" t="s">
        <v>114</v>
      </c>
      <c r="C51" s="11">
        <v>0</v>
      </c>
      <c r="D51" s="12"/>
      <c r="E51" s="13"/>
      <c r="F51" s="13">
        <v>150000</v>
      </c>
      <c r="G51" s="14"/>
      <c r="H51" s="27">
        <f t="shared" si="4"/>
        <v>150000</v>
      </c>
      <c r="I51" s="45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63">
        <v>150000</v>
      </c>
      <c r="U51" s="15">
        <f t="shared" si="5"/>
        <v>150000</v>
      </c>
      <c r="V51" s="53">
        <f t="shared" si="6"/>
        <v>0</v>
      </c>
    </row>
    <row r="52" spans="1:22" ht="25.5" x14ac:dyDescent="0.25">
      <c r="A52" s="2" t="s">
        <v>91</v>
      </c>
      <c r="B52" s="3" t="s">
        <v>92</v>
      </c>
      <c r="C52" s="11">
        <v>3700000</v>
      </c>
      <c r="D52" s="12"/>
      <c r="E52" s="13"/>
      <c r="F52" s="13"/>
      <c r="G52" s="14">
        <v>1000000</v>
      </c>
      <c r="H52" s="27">
        <f t="shared" si="4"/>
        <v>2700000</v>
      </c>
      <c r="I52" s="45"/>
      <c r="J52" s="48"/>
      <c r="K52" s="48"/>
      <c r="L52" s="48"/>
      <c r="M52" s="48">
        <v>7612</v>
      </c>
      <c r="N52" s="48"/>
      <c r="O52" s="48"/>
      <c r="P52" s="48">
        <v>422959</v>
      </c>
      <c r="Q52" s="48">
        <v>420734</v>
      </c>
      <c r="R52" s="48"/>
      <c r="S52" s="48"/>
      <c r="T52" s="48"/>
      <c r="U52" s="15">
        <f t="shared" si="5"/>
        <v>851305</v>
      </c>
      <c r="V52" s="53">
        <f t="shared" si="6"/>
        <v>1848695</v>
      </c>
    </row>
    <row r="53" spans="1:22" ht="25.5" x14ac:dyDescent="0.25">
      <c r="A53" s="2" t="s">
        <v>52</v>
      </c>
      <c r="B53" s="3" t="s">
        <v>53</v>
      </c>
      <c r="C53" s="11">
        <v>3700000</v>
      </c>
      <c r="D53" s="12"/>
      <c r="E53" s="13"/>
      <c r="F53" s="13"/>
      <c r="G53" s="14"/>
      <c r="H53" s="27">
        <f t="shared" si="4"/>
        <v>3700000</v>
      </c>
      <c r="I53" s="45"/>
      <c r="J53" s="48">
        <v>531199</v>
      </c>
      <c r="K53" s="48">
        <v>404959</v>
      </c>
      <c r="L53" s="55">
        <v>313969</v>
      </c>
      <c r="M53" s="48"/>
      <c r="N53" s="48">
        <v>327969</v>
      </c>
      <c r="O53" s="48">
        <v>235029</v>
      </c>
      <c r="P53" s="48"/>
      <c r="Q53" s="48"/>
      <c r="R53" s="48">
        <v>415209</v>
      </c>
      <c r="S53" s="48">
        <v>488357</v>
      </c>
      <c r="T53" s="48">
        <v>422959</v>
      </c>
      <c r="U53" s="15">
        <f t="shared" si="5"/>
        <v>3139650</v>
      </c>
      <c r="V53" s="53">
        <f t="shared" si="6"/>
        <v>560350</v>
      </c>
    </row>
    <row r="54" spans="1:22" ht="25.5" x14ac:dyDescent="0.25">
      <c r="A54" s="2" t="s">
        <v>64</v>
      </c>
      <c r="B54" s="3" t="s">
        <v>65</v>
      </c>
      <c r="C54" s="11">
        <v>0</v>
      </c>
      <c r="D54" s="12">
        <v>300000</v>
      </c>
      <c r="E54" s="13"/>
      <c r="F54" s="13"/>
      <c r="G54" s="14"/>
      <c r="H54" s="27">
        <f t="shared" si="4"/>
        <v>300000</v>
      </c>
      <c r="I54" s="45"/>
      <c r="J54" s="48"/>
      <c r="K54" s="48"/>
      <c r="L54" s="48"/>
      <c r="M54" s="48"/>
      <c r="N54" s="48"/>
      <c r="O54" s="48">
        <v>300000</v>
      </c>
      <c r="P54" s="48"/>
      <c r="Q54" s="48"/>
      <c r="R54" s="48"/>
      <c r="S54" s="48"/>
      <c r="T54" s="48"/>
      <c r="U54" s="15">
        <f t="shared" si="5"/>
        <v>300000</v>
      </c>
      <c r="V54" s="53">
        <f t="shared" si="6"/>
        <v>0</v>
      </c>
    </row>
    <row r="55" spans="1:22" ht="25.5" x14ac:dyDescent="0.25">
      <c r="A55" s="2" t="s">
        <v>54</v>
      </c>
      <c r="B55" s="3" t="s">
        <v>55</v>
      </c>
      <c r="C55" s="11">
        <v>0</v>
      </c>
      <c r="D55" s="12">
        <v>959359</v>
      </c>
      <c r="E55" s="13"/>
      <c r="F55" s="13"/>
      <c r="G55" s="14"/>
      <c r="H55" s="27">
        <f t="shared" si="4"/>
        <v>959359</v>
      </c>
      <c r="I55" s="45">
        <v>406459</v>
      </c>
      <c r="J55" s="48"/>
      <c r="K55" s="48"/>
      <c r="L55" s="48"/>
      <c r="M55" s="48">
        <v>529317</v>
      </c>
      <c r="N55" s="48"/>
      <c r="O55" s="48">
        <v>23582</v>
      </c>
      <c r="P55" s="48"/>
      <c r="Q55" s="48"/>
      <c r="R55" s="48"/>
      <c r="S55" s="48"/>
      <c r="T55" s="48"/>
      <c r="U55" s="15">
        <f t="shared" si="5"/>
        <v>959358</v>
      </c>
      <c r="V55" s="53">
        <f t="shared" si="6"/>
        <v>1</v>
      </c>
    </row>
    <row r="56" spans="1:22" ht="25.5" x14ac:dyDescent="0.25">
      <c r="A56" s="50" t="s">
        <v>107</v>
      </c>
      <c r="B56" s="50" t="s">
        <v>108</v>
      </c>
      <c r="C56" s="11">
        <v>0</v>
      </c>
      <c r="D56" s="12">
        <v>2000000</v>
      </c>
      <c r="E56" s="13"/>
      <c r="F56" s="13"/>
      <c r="G56" s="14">
        <v>2000000</v>
      </c>
      <c r="H56" s="27">
        <f t="shared" si="4"/>
        <v>0</v>
      </c>
      <c r="I56" s="45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15">
        <f t="shared" si="5"/>
        <v>0</v>
      </c>
      <c r="V56" s="53">
        <f t="shared" si="6"/>
        <v>0</v>
      </c>
    </row>
    <row r="57" spans="1:22" ht="25.5" x14ac:dyDescent="0.25">
      <c r="A57" s="2" t="s">
        <v>56</v>
      </c>
      <c r="B57" s="3" t="s">
        <v>57</v>
      </c>
      <c r="C57" s="11">
        <v>1000</v>
      </c>
      <c r="D57" s="12"/>
      <c r="E57" s="13"/>
      <c r="F57" s="13"/>
      <c r="G57" s="14"/>
      <c r="H57" s="27">
        <f t="shared" si="4"/>
        <v>1000</v>
      </c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11">
        <f t="shared" si="5"/>
        <v>0</v>
      </c>
      <c r="V57" s="53">
        <f t="shared" si="6"/>
        <v>1000</v>
      </c>
    </row>
    <row r="58" spans="1:22" ht="13.5" thickBot="1" x14ac:dyDescent="0.3">
      <c r="A58" s="6"/>
      <c r="B58" s="7"/>
      <c r="C58" s="19"/>
      <c r="D58" s="20"/>
      <c r="E58" s="21"/>
      <c r="F58" s="21"/>
      <c r="G58" s="22"/>
      <c r="H58" s="38"/>
      <c r="I58" s="3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2"/>
      <c r="U58" s="43"/>
      <c r="V58" s="56"/>
    </row>
    <row r="59" spans="1:22" ht="13.5" thickBot="1" x14ac:dyDescent="0.3">
      <c r="A59" s="66" t="s">
        <v>26</v>
      </c>
      <c r="B59" s="67"/>
      <c r="C59" s="23">
        <f t="shared" ref="C59:V59" si="7">SUM(C25:C58)</f>
        <v>129053000</v>
      </c>
      <c r="D59" s="24">
        <f t="shared" si="7"/>
        <v>82000928</v>
      </c>
      <c r="E59" s="25">
        <f t="shared" si="7"/>
        <v>220000</v>
      </c>
      <c r="F59" s="25">
        <f t="shared" si="7"/>
        <v>30398956</v>
      </c>
      <c r="G59" s="26">
        <f t="shared" si="7"/>
        <v>30398956</v>
      </c>
      <c r="H59" s="23">
        <f t="shared" si="7"/>
        <v>210833928</v>
      </c>
      <c r="I59" s="35">
        <f t="shared" si="7"/>
        <v>726807</v>
      </c>
      <c r="J59" s="36">
        <f t="shared" si="7"/>
        <v>532166</v>
      </c>
      <c r="K59" s="36">
        <f t="shared" si="7"/>
        <v>2997485.53</v>
      </c>
      <c r="L59" s="36">
        <f t="shared" si="7"/>
        <v>2810716</v>
      </c>
      <c r="M59" s="36">
        <f t="shared" si="7"/>
        <v>5433676</v>
      </c>
      <c r="N59" s="36">
        <f t="shared" si="7"/>
        <v>4502808</v>
      </c>
      <c r="O59" s="36">
        <f t="shared" si="7"/>
        <v>10422404</v>
      </c>
      <c r="P59" s="36">
        <f t="shared" si="7"/>
        <v>13007028</v>
      </c>
      <c r="Q59" s="36">
        <f t="shared" si="7"/>
        <v>6742481</v>
      </c>
      <c r="R59" s="36">
        <f t="shared" si="7"/>
        <v>2411956</v>
      </c>
      <c r="S59" s="36">
        <f t="shared" si="7"/>
        <v>964476</v>
      </c>
      <c r="T59" s="57">
        <f t="shared" si="7"/>
        <v>86712505</v>
      </c>
      <c r="U59" s="23">
        <f t="shared" si="7"/>
        <v>137264508.53</v>
      </c>
      <c r="V59" s="58">
        <f t="shared" si="7"/>
        <v>73569419.469999999</v>
      </c>
    </row>
    <row r="64" spans="1:22" ht="24" x14ac:dyDescent="0.25">
      <c r="B64" s="103" t="s">
        <v>120</v>
      </c>
    </row>
    <row r="65" spans="1:2" x14ac:dyDescent="0.25">
      <c r="B65" s="101"/>
    </row>
    <row r="67" spans="1:2" x14ac:dyDescent="0.25">
      <c r="A67" s="102" t="s">
        <v>118</v>
      </c>
      <c r="B67" s="102" t="s">
        <v>119</v>
      </c>
    </row>
  </sheetData>
  <mergeCells count="73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C23:C24"/>
    <mergeCell ref="D23:G23"/>
    <mergeCell ref="H23:H24"/>
    <mergeCell ref="I23:I24"/>
    <mergeCell ref="D19:E19"/>
    <mergeCell ref="F19:G19"/>
    <mergeCell ref="V23:V24"/>
    <mergeCell ref="A59:B59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31" zoomScaleNormal="100" workbookViewId="0">
      <selection activeCell="G55" sqref="F55:G55"/>
    </sheetView>
  </sheetViews>
  <sheetFormatPr baseColWidth="10" defaultColWidth="11.42578125" defaultRowHeight="12.75" x14ac:dyDescent="0.25"/>
  <cols>
    <col min="1" max="1" width="13.85546875" style="1" customWidth="1"/>
    <col min="2" max="2" width="32.7109375" style="1" customWidth="1"/>
    <col min="3" max="3" width="15.5703125" style="1" customWidth="1"/>
    <col min="4" max="4" width="10.7109375" style="1" customWidth="1"/>
    <col min="5" max="5" width="6.42578125" style="1" customWidth="1"/>
    <col min="6" max="6" width="5.85546875" style="1" customWidth="1"/>
    <col min="7" max="7" width="8.5703125" style="1" customWidth="1"/>
    <col min="8" max="8" width="15" style="1" customWidth="1"/>
    <col min="9" max="9" width="10.85546875" style="1" customWidth="1"/>
    <col min="10" max="19" width="10.7109375" style="1" customWidth="1"/>
    <col min="20" max="20" width="8.7109375" style="1" customWidth="1"/>
    <col min="21" max="21" width="11.85546875" style="1" customWidth="1"/>
    <col min="22" max="22" width="12.2851562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29">
        <f>1880000/11</f>
        <v>170909.09090909091</v>
      </c>
      <c r="K8" s="29">
        <f t="shared" ref="K8:T8" si="0">1880000/11</f>
        <v>170909.09090909091</v>
      </c>
      <c r="L8" s="29">
        <f t="shared" si="0"/>
        <v>170909.09090909091</v>
      </c>
      <c r="M8" s="29">
        <f t="shared" si="0"/>
        <v>170909.09090909091</v>
      </c>
      <c r="N8" s="29">
        <f t="shared" si="0"/>
        <v>170909.09090909091</v>
      </c>
      <c r="O8" s="29">
        <f t="shared" si="0"/>
        <v>170909.09090909091</v>
      </c>
      <c r="P8" s="29">
        <f t="shared" si="0"/>
        <v>170909.09090909091</v>
      </c>
      <c r="Q8" s="29">
        <f t="shared" si="0"/>
        <v>170909.09090909091</v>
      </c>
      <c r="R8" s="29">
        <f t="shared" si="0"/>
        <v>170909.09090909091</v>
      </c>
      <c r="S8" s="29">
        <f t="shared" si="0"/>
        <v>170909.09090909091</v>
      </c>
      <c r="T8" s="29">
        <f t="shared" si="0"/>
        <v>170909.09090909091</v>
      </c>
      <c r="U8" s="11">
        <f>SUM(I8:T8)</f>
        <v>2499999.9999999995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6" si="1">C9+D9-F9</f>
        <v>5500000</v>
      </c>
      <c r="I9" s="45">
        <v>1760000</v>
      </c>
      <c r="J9" s="17">
        <f>3740000/10</f>
        <v>374000</v>
      </c>
      <c r="K9" s="17">
        <f t="shared" ref="K9:S9" si="2">3740000/10</f>
        <v>374000</v>
      </c>
      <c r="L9" s="17">
        <f t="shared" si="2"/>
        <v>374000</v>
      </c>
      <c r="M9" s="17">
        <f t="shared" si="2"/>
        <v>374000</v>
      </c>
      <c r="N9" s="17">
        <f t="shared" si="2"/>
        <v>374000</v>
      </c>
      <c r="O9" s="17">
        <f t="shared" si="2"/>
        <v>374000</v>
      </c>
      <c r="P9" s="17">
        <f t="shared" si="2"/>
        <v>374000</v>
      </c>
      <c r="Q9" s="17">
        <f t="shared" si="2"/>
        <v>374000</v>
      </c>
      <c r="R9" s="17">
        <f t="shared" si="2"/>
        <v>374000</v>
      </c>
      <c r="S9" s="17">
        <f t="shared" si="2"/>
        <v>374000</v>
      </c>
      <c r="T9" s="17"/>
      <c r="U9" s="15">
        <f t="shared" ref="U9:U16" si="3">SUM(I9:T9)</f>
        <v>5500000</v>
      </c>
      <c r="V9" s="15">
        <f t="shared" ref="V9:V16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/>
      <c r="E10" s="84"/>
      <c r="F10" s="84"/>
      <c r="G10" s="85"/>
      <c r="H10" s="31">
        <f t="shared" si="1"/>
        <v>89000000</v>
      </c>
      <c r="I10" s="45"/>
      <c r="J10" s="17">
        <v>89000000</v>
      </c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5">
        <f t="shared" si="3"/>
        <v>89000000</v>
      </c>
      <c r="V10" s="15">
        <f t="shared" si="4"/>
        <v>0</v>
      </c>
    </row>
    <row r="11" spans="1:22" ht="25.5" x14ac:dyDescent="0.25">
      <c r="A11" s="4" t="s">
        <v>76</v>
      </c>
      <c r="B11" s="5" t="s">
        <v>77</v>
      </c>
      <c r="C11" s="15">
        <v>32000000</v>
      </c>
      <c r="D11" s="83"/>
      <c r="E11" s="84"/>
      <c r="F11" s="84"/>
      <c r="G11" s="85"/>
      <c r="H11" s="31">
        <f t="shared" si="1"/>
        <v>32000000</v>
      </c>
      <c r="I11" s="45"/>
      <c r="J11" s="17"/>
      <c r="K11" s="17"/>
      <c r="L11" s="17"/>
      <c r="M11" s="17"/>
      <c r="N11" s="17"/>
      <c r="O11" s="17">
        <v>32000000</v>
      </c>
      <c r="P11" s="17"/>
      <c r="Q11" s="17"/>
      <c r="R11" s="17"/>
      <c r="S11" s="17"/>
      <c r="T11" s="18"/>
      <c r="U11" s="15">
        <f t="shared" si="3"/>
        <v>32000000</v>
      </c>
      <c r="V11" s="15">
        <f t="shared" si="4"/>
        <v>0</v>
      </c>
    </row>
    <row r="12" spans="1:22" x14ac:dyDescent="0.25">
      <c r="A12" s="4" t="s">
        <v>28</v>
      </c>
      <c r="B12" s="5" t="s">
        <v>29</v>
      </c>
      <c r="C12" s="15">
        <v>50000</v>
      </c>
      <c r="D12" s="83"/>
      <c r="E12" s="84"/>
      <c r="F12" s="84"/>
      <c r="G12" s="85"/>
      <c r="H12" s="31">
        <f t="shared" si="1"/>
        <v>50000</v>
      </c>
      <c r="I12" s="45">
        <v>197.4</v>
      </c>
      <c r="J12" s="17">
        <f>49802.6/11</f>
        <v>4527.5090909090904</v>
      </c>
      <c r="K12" s="17">
        <f t="shared" ref="K12:T12" si="5">49802.6/11</f>
        <v>4527.5090909090904</v>
      </c>
      <c r="L12" s="17">
        <f t="shared" si="5"/>
        <v>4527.5090909090904</v>
      </c>
      <c r="M12" s="17">
        <f t="shared" si="5"/>
        <v>4527.5090909090904</v>
      </c>
      <c r="N12" s="17">
        <f t="shared" si="5"/>
        <v>4527.5090909090904</v>
      </c>
      <c r="O12" s="17">
        <f t="shared" si="5"/>
        <v>4527.5090909090904</v>
      </c>
      <c r="P12" s="17">
        <f t="shared" si="5"/>
        <v>4527.5090909090904</v>
      </c>
      <c r="Q12" s="17">
        <f t="shared" si="5"/>
        <v>4527.5090909090904</v>
      </c>
      <c r="R12" s="17">
        <f t="shared" si="5"/>
        <v>4527.5090909090904</v>
      </c>
      <c r="S12" s="17">
        <f t="shared" si="5"/>
        <v>4527.5090909090904</v>
      </c>
      <c r="T12" s="17">
        <f t="shared" si="5"/>
        <v>4527.5090909090904</v>
      </c>
      <c r="U12" s="15">
        <f t="shared" si="3"/>
        <v>50000</v>
      </c>
      <c r="V12" s="15">
        <f t="shared" si="4"/>
        <v>0</v>
      </c>
    </row>
    <row r="13" spans="1:22" x14ac:dyDescent="0.25">
      <c r="A13" s="6" t="s">
        <v>30</v>
      </c>
      <c r="B13" s="7" t="s">
        <v>31</v>
      </c>
      <c r="C13" s="19">
        <v>1000</v>
      </c>
      <c r="D13" s="83">
        <v>4314964</v>
      </c>
      <c r="E13" s="84"/>
      <c r="F13" s="84"/>
      <c r="G13" s="85"/>
      <c r="H13" s="31">
        <f t="shared" si="1"/>
        <v>4315964</v>
      </c>
      <c r="I13" s="46">
        <v>4314964</v>
      </c>
      <c r="J13" s="21">
        <v>1000</v>
      </c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15">
        <f t="shared" si="3"/>
        <v>4315964</v>
      </c>
      <c r="V13" s="15">
        <f t="shared" si="4"/>
        <v>0</v>
      </c>
    </row>
    <row r="14" spans="1:22" x14ac:dyDescent="0.25">
      <c r="A14" s="6" t="s">
        <v>32</v>
      </c>
      <c r="B14" s="7" t="s">
        <v>33</v>
      </c>
      <c r="C14" s="19">
        <v>1000</v>
      </c>
      <c r="D14" s="83">
        <v>5759359</v>
      </c>
      <c r="E14" s="84"/>
      <c r="F14" s="84"/>
      <c r="G14" s="85"/>
      <c r="H14" s="31">
        <f t="shared" si="1"/>
        <v>5760359</v>
      </c>
      <c r="I14" s="46">
        <v>5759359</v>
      </c>
      <c r="J14" s="21">
        <v>1000</v>
      </c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15">
        <f t="shared" si="3"/>
        <v>5760359</v>
      </c>
      <c r="V14" s="15">
        <f t="shared" si="4"/>
        <v>0</v>
      </c>
    </row>
    <row r="15" spans="1:22" x14ac:dyDescent="0.25">
      <c r="A15" s="6" t="s">
        <v>34</v>
      </c>
      <c r="B15" s="7" t="s">
        <v>35</v>
      </c>
      <c r="C15" s="19">
        <v>1000</v>
      </c>
      <c r="D15" s="83">
        <v>10710271</v>
      </c>
      <c r="E15" s="84"/>
      <c r="F15" s="84"/>
      <c r="G15" s="85"/>
      <c r="H15" s="31">
        <f t="shared" si="1"/>
        <v>10711271</v>
      </c>
      <c r="I15" s="46">
        <v>10710271</v>
      </c>
      <c r="J15" s="21">
        <v>1000</v>
      </c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15">
        <f t="shared" si="3"/>
        <v>10711271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87"/>
      <c r="E16" s="88"/>
      <c r="F16" s="88"/>
      <c r="G16" s="90"/>
      <c r="H16" s="31">
        <f t="shared" si="1"/>
        <v>0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15">
        <f t="shared" si="3"/>
        <v>0</v>
      </c>
      <c r="V16" s="15">
        <f t="shared" si="4"/>
        <v>0</v>
      </c>
    </row>
    <row r="17" spans="1:22" ht="13.5" thickBot="1" x14ac:dyDescent="0.3">
      <c r="A17" s="66" t="s">
        <v>26</v>
      </c>
      <c r="B17" s="67"/>
      <c r="C17" s="23">
        <f>SUM(C8:C16)</f>
        <v>129053000</v>
      </c>
      <c r="D17" s="79">
        <f>SUM(D8:E16)</f>
        <v>20784594</v>
      </c>
      <c r="E17" s="80"/>
      <c r="F17" s="79">
        <f>SUM(F8:G16)</f>
        <v>0</v>
      </c>
      <c r="G17" s="80"/>
      <c r="H17" s="23">
        <f t="shared" ref="H17:V17" si="6">SUM(H8:H16)</f>
        <v>149837594</v>
      </c>
      <c r="I17" s="35">
        <f t="shared" si="6"/>
        <v>23164791.399999999</v>
      </c>
      <c r="J17" s="36">
        <f t="shared" si="6"/>
        <v>89552436.600000009</v>
      </c>
      <c r="K17" s="36">
        <f t="shared" si="6"/>
        <v>549436.6</v>
      </c>
      <c r="L17" s="36">
        <f t="shared" si="6"/>
        <v>549436.6</v>
      </c>
      <c r="M17" s="36">
        <f t="shared" si="6"/>
        <v>549436.6</v>
      </c>
      <c r="N17" s="36">
        <f t="shared" si="6"/>
        <v>549436.6</v>
      </c>
      <c r="O17" s="36">
        <f t="shared" si="6"/>
        <v>32549436.599999998</v>
      </c>
      <c r="P17" s="36">
        <f t="shared" si="6"/>
        <v>549436.6</v>
      </c>
      <c r="Q17" s="36">
        <f t="shared" si="6"/>
        <v>549436.6</v>
      </c>
      <c r="R17" s="36">
        <f t="shared" si="6"/>
        <v>549436.6</v>
      </c>
      <c r="S17" s="36">
        <f t="shared" si="6"/>
        <v>549436.6</v>
      </c>
      <c r="T17" s="37">
        <f t="shared" si="6"/>
        <v>175436.6</v>
      </c>
      <c r="U17" s="23">
        <f t="shared" si="6"/>
        <v>149837594</v>
      </c>
      <c r="V17" s="23">
        <f t="shared" si="6"/>
        <v>0</v>
      </c>
    </row>
    <row r="19" spans="1:22" ht="13.5" thickBot="1" x14ac:dyDescent="0.3">
      <c r="A19" s="86" t="s">
        <v>23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x14ac:dyDescent="0.25">
      <c r="A20" s="72" t="s">
        <v>2</v>
      </c>
      <c r="B20" s="70" t="s">
        <v>3</v>
      </c>
      <c r="C20" s="64" t="s">
        <v>4</v>
      </c>
      <c r="D20" s="75" t="s">
        <v>5</v>
      </c>
      <c r="E20" s="76"/>
      <c r="F20" s="76"/>
      <c r="G20" s="77"/>
      <c r="H20" s="64" t="s">
        <v>8</v>
      </c>
      <c r="I20" s="72" t="s">
        <v>9</v>
      </c>
      <c r="J20" s="68" t="s">
        <v>10</v>
      </c>
      <c r="K20" s="68" t="s">
        <v>11</v>
      </c>
      <c r="L20" s="68" t="s">
        <v>12</v>
      </c>
      <c r="M20" s="68" t="s">
        <v>13</v>
      </c>
      <c r="N20" s="68" t="s">
        <v>14</v>
      </c>
      <c r="O20" s="68" t="s">
        <v>15</v>
      </c>
      <c r="P20" s="68" t="s">
        <v>16</v>
      </c>
      <c r="Q20" s="68" t="s">
        <v>17</v>
      </c>
      <c r="R20" s="68" t="s">
        <v>18</v>
      </c>
      <c r="S20" s="68" t="s">
        <v>19</v>
      </c>
      <c r="T20" s="70" t="s">
        <v>20</v>
      </c>
      <c r="U20" s="64" t="s">
        <v>21</v>
      </c>
      <c r="V20" s="64" t="s">
        <v>22</v>
      </c>
    </row>
    <row r="21" spans="1:22" ht="90" thickBot="1" x14ac:dyDescent="0.3">
      <c r="A21" s="73"/>
      <c r="B21" s="74"/>
      <c r="C21" s="65"/>
      <c r="D21" s="8" t="s">
        <v>6</v>
      </c>
      <c r="E21" s="9" t="s">
        <v>7</v>
      </c>
      <c r="F21" s="9" t="s">
        <v>24</v>
      </c>
      <c r="G21" s="10" t="s">
        <v>25</v>
      </c>
      <c r="H21" s="65"/>
      <c r="I21" s="7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1"/>
      <c r="U21" s="65"/>
      <c r="V21" s="65"/>
    </row>
    <row r="22" spans="1:22" ht="25.5" x14ac:dyDescent="0.25">
      <c r="A22" s="2" t="s">
        <v>62</v>
      </c>
      <c r="B22" s="3" t="s">
        <v>63</v>
      </c>
      <c r="C22" s="11">
        <v>4800000</v>
      </c>
      <c r="D22" s="12"/>
      <c r="E22" s="13"/>
      <c r="F22" s="13"/>
      <c r="G22" s="14"/>
      <c r="H22" s="27">
        <f>C22+D22-E22+F22-G22</f>
        <v>4800000</v>
      </c>
      <c r="I22" s="44"/>
      <c r="J22" s="29"/>
      <c r="K22" s="29"/>
      <c r="L22" s="29"/>
      <c r="M22" s="29"/>
      <c r="N22" s="29"/>
      <c r="O22" s="29">
        <f>4800000/5</f>
        <v>960000</v>
      </c>
      <c r="P22" s="29">
        <f t="shared" ref="P22:S22" si="7">4800000/5</f>
        <v>960000</v>
      </c>
      <c r="Q22" s="29">
        <f t="shared" si="7"/>
        <v>960000</v>
      </c>
      <c r="R22" s="29">
        <f t="shared" si="7"/>
        <v>960000</v>
      </c>
      <c r="S22" s="29">
        <f t="shared" si="7"/>
        <v>960000</v>
      </c>
      <c r="T22" s="39"/>
      <c r="U22" s="40">
        <f>SUM(I22:T22)</f>
        <v>4800000</v>
      </c>
      <c r="V22" s="11">
        <f>H22-U22</f>
        <v>0</v>
      </c>
    </row>
    <row r="23" spans="1:22" ht="38.25" x14ac:dyDescent="0.25">
      <c r="A23" s="2" t="s">
        <v>36</v>
      </c>
      <c r="B23" s="3" t="s">
        <v>37</v>
      </c>
      <c r="C23" s="11">
        <v>8600000</v>
      </c>
      <c r="D23" s="12"/>
      <c r="E23" s="13"/>
      <c r="F23" s="13"/>
      <c r="G23" s="14"/>
      <c r="H23" s="27">
        <f t="shared" ref="H23:H45" si="8">C23+D23-E23+F23-G23</f>
        <v>8600000</v>
      </c>
      <c r="I23" s="45"/>
      <c r="J23" s="17"/>
      <c r="K23" s="17"/>
      <c r="L23" s="17"/>
      <c r="M23" s="17"/>
      <c r="N23" s="17"/>
      <c r="O23" s="17">
        <f>8600000/5</f>
        <v>1720000</v>
      </c>
      <c r="P23" s="17">
        <f t="shared" ref="P23:S23" si="9">8600000/5</f>
        <v>1720000</v>
      </c>
      <c r="Q23" s="17">
        <f t="shared" si="9"/>
        <v>1720000</v>
      </c>
      <c r="R23" s="17">
        <f t="shared" si="9"/>
        <v>1720000</v>
      </c>
      <c r="S23" s="17">
        <f t="shared" si="9"/>
        <v>1720000</v>
      </c>
      <c r="T23" s="41"/>
      <c r="U23" s="11">
        <f t="shared" ref="U23:U45" si="10">SUM(I23:T23)</f>
        <v>8600000</v>
      </c>
      <c r="V23" s="11">
        <f t="shared" ref="V23:V45" si="11">H23-U23</f>
        <v>0</v>
      </c>
    </row>
    <row r="24" spans="1:22" ht="25.5" x14ac:dyDescent="0.25">
      <c r="A24" s="2" t="s">
        <v>38</v>
      </c>
      <c r="B24" s="3" t="s">
        <v>39</v>
      </c>
      <c r="C24" s="11">
        <v>12500000</v>
      </c>
      <c r="D24" s="12"/>
      <c r="E24" s="13"/>
      <c r="F24" s="13"/>
      <c r="G24" s="14"/>
      <c r="H24" s="27">
        <f t="shared" si="8"/>
        <v>12500000</v>
      </c>
      <c r="I24" s="45"/>
      <c r="J24" s="17">
        <f>12500000/10</f>
        <v>1250000</v>
      </c>
      <c r="K24" s="17">
        <f t="shared" ref="K24:S24" si="12">12500000/10</f>
        <v>1250000</v>
      </c>
      <c r="L24" s="17">
        <f t="shared" si="12"/>
        <v>1250000</v>
      </c>
      <c r="M24" s="17">
        <f t="shared" si="12"/>
        <v>1250000</v>
      </c>
      <c r="N24" s="17">
        <f t="shared" si="12"/>
        <v>1250000</v>
      </c>
      <c r="O24" s="17">
        <f t="shared" si="12"/>
        <v>1250000</v>
      </c>
      <c r="P24" s="17">
        <f t="shared" si="12"/>
        <v>1250000</v>
      </c>
      <c r="Q24" s="17">
        <f t="shared" si="12"/>
        <v>1250000</v>
      </c>
      <c r="R24" s="17">
        <f t="shared" si="12"/>
        <v>1250000</v>
      </c>
      <c r="S24" s="17">
        <f t="shared" si="12"/>
        <v>1250000</v>
      </c>
      <c r="T24" s="41"/>
      <c r="U24" s="11">
        <f t="shared" si="10"/>
        <v>12500000</v>
      </c>
      <c r="V24" s="11">
        <f t="shared" si="11"/>
        <v>0</v>
      </c>
    </row>
    <row r="25" spans="1:22" ht="25.5" x14ac:dyDescent="0.25">
      <c r="A25" s="2" t="s">
        <v>67</v>
      </c>
      <c r="B25" s="3" t="s">
        <v>68</v>
      </c>
      <c r="C25" s="11">
        <v>12000000</v>
      </c>
      <c r="D25" s="12"/>
      <c r="E25" s="13"/>
      <c r="F25" s="13"/>
      <c r="G25" s="14"/>
      <c r="H25" s="27">
        <f t="shared" si="8"/>
        <v>12000000</v>
      </c>
      <c r="I25" s="45"/>
      <c r="J25" s="17"/>
      <c r="K25" s="17"/>
      <c r="L25" s="17"/>
      <c r="M25" s="17"/>
      <c r="N25" s="17"/>
      <c r="O25" s="17">
        <f>12000000/5</f>
        <v>2400000</v>
      </c>
      <c r="P25" s="17">
        <f t="shared" ref="P25:S25" si="13">12000000/5</f>
        <v>2400000</v>
      </c>
      <c r="Q25" s="17">
        <f t="shared" si="13"/>
        <v>2400000</v>
      </c>
      <c r="R25" s="17">
        <f t="shared" si="13"/>
        <v>2400000</v>
      </c>
      <c r="S25" s="17">
        <f t="shared" si="13"/>
        <v>2400000</v>
      </c>
      <c r="T25" s="41"/>
      <c r="U25" s="11">
        <f t="shared" si="10"/>
        <v>12000000</v>
      </c>
      <c r="V25" s="11">
        <f t="shared" si="11"/>
        <v>0</v>
      </c>
    </row>
    <row r="26" spans="1:22" ht="38.25" x14ac:dyDescent="0.25">
      <c r="A26" s="2" t="s">
        <v>78</v>
      </c>
      <c r="B26" s="3" t="s">
        <v>79</v>
      </c>
      <c r="C26" s="11">
        <v>1000</v>
      </c>
      <c r="D26" s="12"/>
      <c r="E26" s="13"/>
      <c r="F26" s="13"/>
      <c r="G26" s="14"/>
      <c r="H26" s="27">
        <f t="shared" si="8"/>
        <v>1000</v>
      </c>
      <c r="I26" s="45"/>
      <c r="J26" s="17">
        <f>1000/10</f>
        <v>100</v>
      </c>
      <c r="K26" s="17">
        <f t="shared" ref="K26:S26" si="14">1000/10</f>
        <v>100</v>
      </c>
      <c r="L26" s="17">
        <f t="shared" si="14"/>
        <v>100</v>
      </c>
      <c r="M26" s="17">
        <f t="shared" si="14"/>
        <v>100</v>
      </c>
      <c r="N26" s="17">
        <f t="shared" si="14"/>
        <v>100</v>
      </c>
      <c r="O26" s="17">
        <f t="shared" si="14"/>
        <v>100</v>
      </c>
      <c r="P26" s="17">
        <f t="shared" si="14"/>
        <v>100</v>
      </c>
      <c r="Q26" s="17">
        <f t="shared" si="14"/>
        <v>100</v>
      </c>
      <c r="R26" s="17">
        <f t="shared" si="14"/>
        <v>100</v>
      </c>
      <c r="S26" s="17">
        <f t="shared" si="14"/>
        <v>100</v>
      </c>
      <c r="T26" s="41"/>
      <c r="U26" s="11">
        <f t="shared" si="10"/>
        <v>1000</v>
      </c>
      <c r="V26" s="11">
        <f t="shared" si="11"/>
        <v>0</v>
      </c>
    </row>
    <row r="27" spans="1:22" ht="25.5" x14ac:dyDescent="0.25">
      <c r="A27" s="2" t="s">
        <v>80</v>
      </c>
      <c r="B27" s="3" t="s">
        <v>81</v>
      </c>
      <c r="C27" s="11">
        <v>50000</v>
      </c>
      <c r="D27" s="12"/>
      <c r="E27" s="13"/>
      <c r="F27" s="13"/>
      <c r="G27" s="14"/>
      <c r="H27" s="27">
        <f t="shared" si="8"/>
        <v>50000</v>
      </c>
      <c r="I27" s="45"/>
      <c r="J27" s="17">
        <f>50000/10</f>
        <v>5000</v>
      </c>
      <c r="K27" s="17">
        <f t="shared" ref="K27:S27" si="15">50000/10</f>
        <v>5000</v>
      </c>
      <c r="L27" s="17">
        <f t="shared" si="15"/>
        <v>5000</v>
      </c>
      <c r="M27" s="17">
        <f t="shared" si="15"/>
        <v>5000</v>
      </c>
      <c r="N27" s="17">
        <f t="shared" si="15"/>
        <v>5000</v>
      </c>
      <c r="O27" s="17">
        <f t="shared" si="15"/>
        <v>5000</v>
      </c>
      <c r="P27" s="17">
        <f t="shared" si="15"/>
        <v>5000</v>
      </c>
      <c r="Q27" s="17">
        <f t="shared" si="15"/>
        <v>5000</v>
      </c>
      <c r="R27" s="17">
        <f t="shared" si="15"/>
        <v>5000</v>
      </c>
      <c r="S27" s="17">
        <f t="shared" si="15"/>
        <v>5000</v>
      </c>
      <c r="T27" s="41"/>
      <c r="U27" s="11">
        <f t="shared" si="10"/>
        <v>50000</v>
      </c>
      <c r="V27" s="11">
        <f t="shared" si="11"/>
        <v>0</v>
      </c>
    </row>
    <row r="28" spans="1:22" ht="25.5" x14ac:dyDescent="0.25">
      <c r="A28" s="2" t="s">
        <v>40</v>
      </c>
      <c r="B28" s="3" t="s">
        <v>41</v>
      </c>
      <c r="C28" s="11">
        <v>20400000</v>
      </c>
      <c r="D28" s="12"/>
      <c r="E28" s="13"/>
      <c r="F28" s="13"/>
      <c r="G28" s="14"/>
      <c r="H28" s="27">
        <f t="shared" si="8"/>
        <v>20400000</v>
      </c>
      <c r="I28" s="45"/>
      <c r="J28" s="17">
        <f>20400000/10</f>
        <v>2040000</v>
      </c>
      <c r="K28" s="17">
        <f t="shared" ref="K28:S28" si="16">20400000/10</f>
        <v>2040000</v>
      </c>
      <c r="L28" s="17">
        <f t="shared" si="16"/>
        <v>2040000</v>
      </c>
      <c r="M28" s="17">
        <f t="shared" si="16"/>
        <v>2040000</v>
      </c>
      <c r="N28" s="17">
        <f t="shared" si="16"/>
        <v>2040000</v>
      </c>
      <c r="O28" s="17">
        <f t="shared" si="16"/>
        <v>2040000</v>
      </c>
      <c r="P28" s="17">
        <f t="shared" si="16"/>
        <v>2040000</v>
      </c>
      <c r="Q28" s="17">
        <f t="shared" si="16"/>
        <v>2040000</v>
      </c>
      <c r="R28" s="17">
        <f t="shared" si="16"/>
        <v>2040000</v>
      </c>
      <c r="S28" s="17">
        <f t="shared" si="16"/>
        <v>2040000</v>
      </c>
      <c r="T28" s="41"/>
      <c r="U28" s="11">
        <f t="shared" si="10"/>
        <v>20400000</v>
      </c>
      <c r="V28" s="11">
        <f t="shared" si="11"/>
        <v>0</v>
      </c>
    </row>
    <row r="29" spans="1:22" ht="25.5" x14ac:dyDescent="0.25">
      <c r="A29" s="2" t="s">
        <v>42</v>
      </c>
      <c r="B29" s="3" t="s">
        <v>43</v>
      </c>
      <c r="C29" s="11">
        <v>6600000</v>
      </c>
      <c r="D29" s="12"/>
      <c r="E29" s="13"/>
      <c r="F29" s="13"/>
      <c r="G29" s="14"/>
      <c r="H29" s="27">
        <f t="shared" si="8"/>
        <v>6600000</v>
      </c>
      <c r="I29" s="45"/>
      <c r="J29" s="17"/>
      <c r="K29" s="17"/>
      <c r="L29" s="17"/>
      <c r="M29" s="17"/>
      <c r="N29" s="17"/>
      <c r="O29" s="17">
        <f>6600000/5</f>
        <v>1320000</v>
      </c>
      <c r="P29" s="17">
        <f t="shared" ref="P29:S29" si="17">6600000/5</f>
        <v>1320000</v>
      </c>
      <c r="Q29" s="17">
        <f t="shared" si="17"/>
        <v>1320000</v>
      </c>
      <c r="R29" s="17">
        <f t="shared" si="17"/>
        <v>1320000</v>
      </c>
      <c r="S29" s="17">
        <f t="shared" si="17"/>
        <v>1320000</v>
      </c>
      <c r="T29" s="41"/>
      <c r="U29" s="11">
        <f t="shared" si="10"/>
        <v>6600000</v>
      </c>
      <c r="V29" s="11">
        <f t="shared" si="11"/>
        <v>0</v>
      </c>
    </row>
    <row r="30" spans="1:22" ht="25.5" x14ac:dyDescent="0.25">
      <c r="A30" s="2" t="s">
        <v>82</v>
      </c>
      <c r="B30" s="3" t="s">
        <v>83</v>
      </c>
      <c r="C30" s="11">
        <v>0</v>
      </c>
      <c r="D30" s="12">
        <v>3700000</v>
      </c>
      <c r="E30" s="13"/>
      <c r="F30" s="13"/>
      <c r="G30" s="14"/>
      <c r="H30" s="27">
        <f t="shared" si="8"/>
        <v>3700000</v>
      </c>
      <c r="I30" s="45"/>
      <c r="J30" s="17">
        <f>3700000/10</f>
        <v>370000</v>
      </c>
      <c r="K30" s="17">
        <f t="shared" ref="K30:S30" si="18">3700000/10</f>
        <v>370000</v>
      </c>
      <c r="L30" s="17">
        <f t="shared" si="18"/>
        <v>370000</v>
      </c>
      <c r="M30" s="17">
        <f t="shared" si="18"/>
        <v>370000</v>
      </c>
      <c r="N30" s="17">
        <f t="shared" si="18"/>
        <v>370000</v>
      </c>
      <c r="O30" s="17">
        <f t="shared" si="18"/>
        <v>370000</v>
      </c>
      <c r="P30" s="17">
        <f t="shared" si="18"/>
        <v>370000</v>
      </c>
      <c r="Q30" s="17">
        <f t="shared" si="18"/>
        <v>370000</v>
      </c>
      <c r="R30" s="17">
        <f t="shared" si="18"/>
        <v>370000</v>
      </c>
      <c r="S30" s="17">
        <f t="shared" si="18"/>
        <v>370000</v>
      </c>
      <c r="T30" s="41"/>
      <c r="U30" s="11">
        <f t="shared" si="10"/>
        <v>3700000</v>
      </c>
      <c r="V30" s="11">
        <f t="shared" si="11"/>
        <v>0</v>
      </c>
    </row>
    <row r="31" spans="1:22" ht="25.5" x14ac:dyDescent="0.25">
      <c r="A31" s="2" t="s">
        <v>60</v>
      </c>
      <c r="B31" s="3" t="s">
        <v>61</v>
      </c>
      <c r="C31" s="11">
        <v>1000</v>
      </c>
      <c r="D31" s="12">
        <v>4110271</v>
      </c>
      <c r="E31" s="13"/>
      <c r="F31" s="13"/>
      <c r="G31" s="14"/>
      <c r="H31" s="27">
        <f t="shared" si="8"/>
        <v>4111271</v>
      </c>
      <c r="I31" s="45"/>
      <c r="J31" s="17">
        <f>4111271/10</f>
        <v>411127.1</v>
      </c>
      <c r="K31" s="17">
        <f t="shared" ref="K31:S31" si="19">4111271/10</f>
        <v>411127.1</v>
      </c>
      <c r="L31" s="17">
        <f t="shared" si="19"/>
        <v>411127.1</v>
      </c>
      <c r="M31" s="17">
        <f t="shared" si="19"/>
        <v>411127.1</v>
      </c>
      <c r="N31" s="17">
        <f t="shared" si="19"/>
        <v>411127.1</v>
      </c>
      <c r="O31" s="17">
        <f t="shared" si="19"/>
        <v>411127.1</v>
      </c>
      <c r="P31" s="17">
        <f t="shared" si="19"/>
        <v>411127.1</v>
      </c>
      <c r="Q31" s="17">
        <f t="shared" si="19"/>
        <v>411127.1</v>
      </c>
      <c r="R31" s="17">
        <f t="shared" si="19"/>
        <v>411127.1</v>
      </c>
      <c r="S31" s="17">
        <f t="shared" si="19"/>
        <v>411127.1</v>
      </c>
      <c r="T31" s="41"/>
      <c r="U31" s="11">
        <f t="shared" si="10"/>
        <v>4111271.0000000005</v>
      </c>
      <c r="V31" s="11">
        <f t="shared" si="11"/>
        <v>0</v>
      </c>
    </row>
    <row r="32" spans="1:22" ht="25.5" x14ac:dyDescent="0.25">
      <c r="A32" s="2" t="s">
        <v>44</v>
      </c>
      <c r="B32" s="3" t="s">
        <v>45</v>
      </c>
      <c r="C32" s="11">
        <v>1500000</v>
      </c>
      <c r="D32" s="12"/>
      <c r="E32" s="13"/>
      <c r="F32" s="13"/>
      <c r="G32" s="14"/>
      <c r="H32" s="27">
        <f t="shared" si="8"/>
        <v>1500000</v>
      </c>
      <c r="I32" s="45">
        <v>300118</v>
      </c>
      <c r="J32" s="17">
        <f>1199882/11</f>
        <v>109080.18181818182</v>
      </c>
      <c r="K32" s="17">
        <f t="shared" ref="K32:T32" si="20">1199882/11</f>
        <v>109080.18181818182</v>
      </c>
      <c r="L32" s="17">
        <f t="shared" si="20"/>
        <v>109080.18181818182</v>
      </c>
      <c r="M32" s="17">
        <f t="shared" si="20"/>
        <v>109080.18181818182</v>
      </c>
      <c r="N32" s="17">
        <f t="shared" si="20"/>
        <v>109080.18181818182</v>
      </c>
      <c r="O32" s="17">
        <f t="shared" si="20"/>
        <v>109080.18181818182</v>
      </c>
      <c r="P32" s="17">
        <f t="shared" si="20"/>
        <v>109080.18181818182</v>
      </c>
      <c r="Q32" s="17">
        <f t="shared" si="20"/>
        <v>109080.18181818182</v>
      </c>
      <c r="R32" s="17">
        <f t="shared" si="20"/>
        <v>109080.18181818182</v>
      </c>
      <c r="S32" s="17">
        <f t="shared" si="20"/>
        <v>109080.18181818182</v>
      </c>
      <c r="T32" s="17">
        <f t="shared" si="20"/>
        <v>109080.18181818182</v>
      </c>
      <c r="U32" s="11">
        <f t="shared" si="10"/>
        <v>1500000.0000000005</v>
      </c>
      <c r="V32" s="11">
        <f t="shared" si="11"/>
        <v>0</v>
      </c>
    </row>
    <row r="33" spans="1:22" ht="25.5" x14ac:dyDescent="0.25">
      <c r="A33" s="2" t="s">
        <v>58</v>
      </c>
      <c r="B33" s="3" t="s">
        <v>59</v>
      </c>
      <c r="C33" s="11">
        <v>0</v>
      </c>
      <c r="D33" s="12">
        <v>314964</v>
      </c>
      <c r="E33" s="13"/>
      <c r="F33" s="13"/>
      <c r="G33" s="14"/>
      <c r="H33" s="27">
        <f t="shared" si="8"/>
        <v>314964</v>
      </c>
      <c r="I33" s="45">
        <v>20230</v>
      </c>
      <c r="J33" s="17">
        <f>294734/11</f>
        <v>26794</v>
      </c>
      <c r="K33" s="17">
        <f t="shared" ref="K33:T33" si="21">294734/11</f>
        <v>26794</v>
      </c>
      <c r="L33" s="17">
        <f t="shared" si="21"/>
        <v>26794</v>
      </c>
      <c r="M33" s="17">
        <f t="shared" si="21"/>
        <v>26794</v>
      </c>
      <c r="N33" s="17">
        <f t="shared" si="21"/>
        <v>26794</v>
      </c>
      <c r="O33" s="17">
        <f t="shared" si="21"/>
        <v>26794</v>
      </c>
      <c r="P33" s="17">
        <f t="shared" si="21"/>
        <v>26794</v>
      </c>
      <c r="Q33" s="17">
        <f t="shared" si="21"/>
        <v>26794</v>
      </c>
      <c r="R33" s="17">
        <f t="shared" si="21"/>
        <v>26794</v>
      </c>
      <c r="S33" s="17">
        <f t="shared" si="21"/>
        <v>26794</v>
      </c>
      <c r="T33" s="17">
        <f t="shared" si="21"/>
        <v>26794</v>
      </c>
      <c r="U33" s="11">
        <f t="shared" si="10"/>
        <v>314964</v>
      </c>
      <c r="V33" s="11">
        <f t="shared" si="11"/>
        <v>0</v>
      </c>
    </row>
    <row r="34" spans="1:22" ht="25.5" x14ac:dyDescent="0.25">
      <c r="A34" s="2" t="s">
        <v>46</v>
      </c>
      <c r="B34" s="3" t="s">
        <v>47</v>
      </c>
      <c r="C34" s="11">
        <v>5500000</v>
      </c>
      <c r="D34" s="12"/>
      <c r="E34" s="13"/>
      <c r="F34" s="13"/>
      <c r="G34" s="14"/>
      <c r="H34" s="27">
        <f t="shared" si="8"/>
        <v>5500000</v>
      </c>
      <c r="I34" s="45"/>
      <c r="J34" s="17">
        <f>5500000/10</f>
        <v>550000</v>
      </c>
      <c r="K34" s="17">
        <f t="shared" ref="K34:S34" si="22">5500000/10</f>
        <v>550000</v>
      </c>
      <c r="L34" s="17">
        <f t="shared" si="22"/>
        <v>550000</v>
      </c>
      <c r="M34" s="17">
        <f t="shared" si="22"/>
        <v>550000</v>
      </c>
      <c r="N34" s="17">
        <f t="shared" si="22"/>
        <v>550000</v>
      </c>
      <c r="O34" s="17">
        <f t="shared" si="22"/>
        <v>550000</v>
      </c>
      <c r="P34" s="17">
        <f t="shared" si="22"/>
        <v>550000</v>
      </c>
      <c r="Q34" s="17">
        <f t="shared" si="22"/>
        <v>550000</v>
      </c>
      <c r="R34" s="17">
        <f t="shared" si="22"/>
        <v>550000</v>
      </c>
      <c r="S34" s="17">
        <f t="shared" si="22"/>
        <v>550000</v>
      </c>
      <c r="T34" s="41"/>
      <c r="U34" s="11">
        <f t="shared" si="10"/>
        <v>5500000</v>
      </c>
      <c r="V34" s="11">
        <f t="shared" si="11"/>
        <v>0</v>
      </c>
    </row>
    <row r="35" spans="1:22" ht="25.5" x14ac:dyDescent="0.25">
      <c r="A35" s="2" t="s">
        <v>48</v>
      </c>
      <c r="B35" s="3" t="s">
        <v>49</v>
      </c>
      <c r="C35" s="11">
        <v>29000000</v>
      </c>
      <c r="D35" s="12"/>
      <c r="E35" s="13"/>
      <c r="F35" s="13"/>
      <c r="G35" s="14"/>
      <c r="H35" s="27">
        <f t="shared" si="8"/>
        <v>29000000</v>
      </c>
      <c r="I35" s="45"/>
      <c r="J35" s="17">
        <f>29000000/10</f>
        <v>2900000</v>
      </c>
      <c r="K35" s="17">
        <f t="shared" ref="K35:S35" si="23">29000000/10</f>
        <v>2900000</v>
      </c>
      <c r="L35" s="17">
        <f t="shared" si="23"/>
        <v>2900000</v>
      </c>
      <c r="M35" s="17">
        <f t="shared" si="23"/>
        <v>2900000</v>
      </c>
      <c r="N35" s="17">
        <f t="shared" si="23"/>
        <v>2900000</v>
      </c>
      <c r="O35" s="17">
        <f t="shared" si="23"/>
        <v>2900000</v>
      </c>
      <c r="P35" s="17">
        <f t="shared" si="23"/>
        <v>2900000</v>
      </c>
      <c r="Q35" s="17">
        <f t="shared" si="23"/>
        <v>2900000</v>
      </c>
      <c r="R35" s="17">
        <f t="shared" si="23"/>
        <v>2900000</v>
      </c>
      <c r="S35" s="17">
        <f t="shared" si="23"/>
        <v>2900000</v>
      </c>
      <c r="T35" s="41"/>
      <c r="U35" s="11">
        <f t="shared" si="10"/>
        <v>29000000</v>
      </c>
      <c r="V35" s="11">
        <f t="shared" si="11"/>
        <v>0</v>
      </c>
    </row>
    <row r="36" spans="1:22" ht="25.5" x14ac:dyDescent="0.25">
      <c r="A36" s="2" t="s">
        <v>84</v>
      </c>
      <c r="B36" s="3" t="s">
        <v>85</v>
      </c>
      <c r="C36" s="11">
        <v>0</v>
      </c>
      <c r="D36" s="12">
        <v>4800000</v>
      </c>
      <c r="E36" s="13"/>
      <c r="F36" s="13"/>
      <c r="G36" s="14"/>
      <c r="H36" s="27">
        <f t="shared" si="8"/>
        <v>4800000</v>
      </c>
      <c r="I36" s="45"/>
      <c r="J36" s="17">
        <f>4800000/10</f>
        <v>480000</v>
      </c>
      <c r="K36" s="17">
        <f t="shared" ref="K36:S36" si="24">4800000/10</f>
        <v>480000</v>
      </c>
      <c r="L36" s="17">
        <f t="shared" si="24"/>
        <v>480000</v>
      </c>
      <c r="M36" s="17">
        <f t="shared" si="24"/>
        <v>480000</v>
      </c>
      <c r="N36" s="17">
        <f t="shared" si="24"/>
        <v>480000</v>
      </c>
      <c r="O36" s="17">
        <f t="shared" si="24"/>
        <v>480000</v>
      </c>
      <c r="P36" s="17">
        <f t="shared" si="24"/>
        <v>480000</v>
      </c>
      <c r="Q36" s="17">
        <f t="shared" si="24"/>
        <v>480000</v>
      </c>
      <c r="R36" s="17">
        <f t="shared" si="24"/>
        <v>480000</v>
      </c>
      <c r="S36" s="17">
        <f t="shared" si="24"/>
        <v>480000</v>
      </c>
      <c r="T36" s="41"/>
      <c r="U36" s="11">
        <f t="shared" si="10"/>
        <v>4800000</v>
      </c>
      <c r="V36" s="11">
        <f t="shared" si="11"/>
        <v>0</v>
      </c>
    </row>
    <row r="37" spans="1:22" ht="25.5" x14ac:dyDescent="0.25">
      <c r="A37" s="2" t="s">
        <v>86</v>
      </c>
      <c r="B37" s="3" t="s">
        <v>87</v>
      </c>
      <c r="C37" s="11">
        <v>1900000</v>
      </c>
      <c r="D37" s="12"/>
      <c r="E37" s="13"/>
      <c r="F37" s="13"/>
      <c r="G37" s="14"/>
      <c r="H37" s="27">
        <f t="shared" si="8"/>
        <v>1900000</v>
      </c>
      <c r="I37" s="45"/>
      <c r="J37" s="17">
        <f>1900000/10</f>
        <v>190000</v>
      </c>
      <c r="K37" s="17">
        <f t="shared" ref="K37:S37" si="25">1900000/10</f>
        <v>190000</v>
      </c>
      <c r="L37" s="17">
        <f t="shared" si="25"/>
        <v>190000</v>
      </c>
      <c r="M37" s="17">
        <f t="shared" si="25"/>
        <v>190000</v>
      </c>
      <c r="N37" s="17">
        <f t="shared" si="25"/>
        <v>190000</v>
      </c>
      <c r="O37" s="17">
        <f t="shared" si="25"/>
        <v>190000</v>
      </c>
      <c r="P37" s="17">
        <f t="shared" si="25"/>
        <v>190000</v>
      </c>
      <c r="Q37" s="17">
        <f t="shared" si="25"/>
        <v>190000</v>
      </c>
      <c r="R37" s="17">
        <f t="shared" si="25"/>
        <v>190000</v>
      </c>
      <c r="S37" s="17">
        <f t="shared" si="25"/>
        <v>190000</v>
      </c>
      <c r="T37" s="41"/>
      <c r="U37" s="11">
        <f t="shared" si="10"/>
        <v>1900000</v>
      </c>
      <c r="V37" s="11">
        <f t="shared" si="11"/>
        <v>0</v>
      </c>
    </row>
    <row r="38" spans="1:22" ht="25.5" x14ac:dyDescent="0.25">
      <c r="A38" s="2" t="s">
        <v>66</v>
      </c>
      <c r="B38" s="3" t="s">
        <v>88</v>
      </c>
      <c r="C38" s="11">
        <v>16000000</v>
      </c>
      <c r="D38" s="12"/>
      <c r="E38" s="13"/>
      <c r="F38" s="13"/>
      <c r="G38" s="14"/>
      <c r="H38" s="27">
        <f t="shared" si="8"/>
        <v>16000000</v>
      </c>
      <c r="I38" s="45"/>
      <c r="J38" s="17">
        <f>16000000/10</f>
        <v>1600000</v>
      </c>
      <c r="K38" s="17">
        <f t="shared" ref="K38:S38" si="26">16000000/10</f>
        <v>1600000</v>
      </c>
      <c r="L38" s="17">
        <f t="shared" si="26"/>
        <v>1600000</v>
      </c>
      <c r="M38" s="17">
        <f t="shared" si="26"/>
        <v>1600000</v>
      </c>
      <c r="N38" s="17">
        <f t="shared" si="26"/>
        <v>1600000</v>
      </c>
      <c r="O38" s="17">
        <f t="shared" si="26"/>
        <v>1600000</v>
      </c>
      <c r="P38" s="17">
        <f t="shared" si="26"/>
        <v>1600000</v>
      </c>
      <c r="Q38" s="17">
        <f t="shared" si="26"/>
        <v>1600000</v>
      </c>
      <c r="R38" s="17">
        <f t="shared" si="26"/>
        <v>1600000</v>
      </c>
      <c r="S38" s="17">
        <f t="shared" si="26"/>
        <v>1600000</v>
      </c>
      <c r="T38" s="41"/>
      <c r="U38" s="11">
        <f t="shared" si="10"/>
        <v>16000000</v>
      </c>
      <c r="V38" s="11">
        <f t="shared" si="11"/>
        <v>0</v>
      </c>
    </row>
    <row r="39" spans="1:22" ht="25.5" x14ac:dyDescent="0.25">
      <c r="A39" s="2" t="s">
        <v>89</v>
      </c>
      <c r="B39" s="3" t="s">
        <v>90</v>
      </c>
      <c r="C39" s="11">
        <v>0</v>
      </c>
      <c r="D39" s="12">
        <v>6600000</v>
      </c>
      <c r="E39" s="13"/>
      <c r="F39" s="13"/>
      <c r="G39" s="14"/>
      <c r="H39" s="27">
        <f t="shared" si="8"/>
        <v>6600000</v>
      </c>
      <c r="I39" s="45"/>
      <c r="J39" s="17">
        <f>6600000/10</f>
        <v>660000</v>
      </c>
      <c r="K39" s="17">
        <f t="shared" ref="K39:S39" si="27">6600000/10</f>
        <v>660000</v>
      </c>
      <c r="L39" s="17">
        <f t="shared" si="27"/>
        <v>660000</v>
      </c>
      <c r="M39" s="17">
        <f t="shared" si="27"/>
        <v>660000</v>
      </c>
      <c r="N39" s="17">
        <f t="shared" si="27"/>
        <v>660000</v>
      </c>
      <c r="O39" s="17">
        <f t="shared" si="27"/>
        <v>660000</v>
      </c>
      <c r="P39" s="17">
        <f t="shared" si="27"/>
        <v>660000</v>
      </c>
      <c r="Q39" s="17">
        <f t="shared" si="27"/>
        <v>660000</v>
      </c>
      <c r="R39" s="17">
        <f t="shared" si="27"/>
        <v>660000</v>
      </c>
      <c r="S39" s="17">
        <f t="shared" si="27"/>
        <v>660000</v>
      </c>
      <c r="T39" s="41"/>
      <c r="U39" s="11">
        <f t="shared" si="10"/>
        <v>6600000</v>
      </c>
      <c r="V39" s="11">
        <f t="shared" si="11"/>
        <v>0</v>
      </c>
    </row>
    <row r="40" spans="1:22" ht="25.5" x14ac:dyDescent="0.25">
      <c r="A40" s="2" t="s">
        <v>50</v>
      </c>
      <c r="B40" s="3" t="s">
        <v>51</v>
      </c>
      <c r="C40" s="11">
        <v>2800000</v>
      </c>
      <c r="D40" s="12"/>
      <c r="E40" s="13"/>
      <c r="F40" s="13"/>
      <c r="G40" s="14"/>
      <c r="H40" s="27">
        <f t="shared" si="8"/>
        <v>2800000</v>
      </c>
      <c r="I40" s="45"/>
      <c r="J40" s="17">
        <f>2800000/10</f>
        <v>280000</v>
      </c>
      <c r="K40" s="17">
        <f t="shared" ref="K40:S40" si="28">2800000/10</f>
        <v>280000</v>
      </c>
      <c r="L40" s="17">
        <f t="shared" si="28"/>
        <v>280000</v>
      </c>
      <c r="M40" s="17">
        <f t="shared" si="28"/>
        <v>280000</v>
      </c>
      <c r="N40" s="17">
        <f t="shared" si="28"/>
        <v>280000</v>
      </c>
      <c r="O40" s="17">
        <f t="shared" si="28"/>
        <v>280000</v>
      </c>
      <c r="P40" s="17">
        <f t="shared" si="28"/>
        <v>280000</v>
      </c>
      <c r="Q40" s="17">
        <f t="shared" si="28"/>
        <v>280000</v>
      </c>
      <c r="R40" s="17">
        <f t="shared" si="28"/>
        <v>280000</v>
      </c>
      <c r="S40" s="17">
        <f t="shared" si="28"/>
        <v>280000</v>
      </c>
      <c r="T40" s="41"/>
      <c r="U40" s="11">
        <f t="shared" si="10"/>
        <v>2800000</v>
      </c>
      <c r="V40" s="11">
        <f t="shared" si="11"/>
        <v>0</v>
      </c>
    </row>
    <row r="41" spans="1:22" ht="25.5" x14ac:dyDescent="0.25">
      <c r="A41" s="2" t="s">
        <v>91</v>
      </c>
      <c r="B41" s="3" t="s">
        <v>92</v>
      </c>
      <c r="C41" s="11">
        <v>3700000</v>
      </c>
      <c r="D41" s="12"/>
      <c r="E41" s="13"/>
      <c r="F41" s="13"/>
      <c r="G41" s="14"/>
      <c r="H41" s="27">
        <f t="shared" si="8"/>
        <v>3700000</v>
      </c>
      <c r="I41" s="45"/>
      <c r="J41" s="17">
        <f>3700000/11</f>
        <v>336363.63636363635</v>
      </c>
      <c r="K41" s="17">
        <f t="shared" ref="K41:T41" si="29">3700000/11</f>
        <v>336363.63636363635</v>
      </c>
      <c r="L41" s="17">
        <f t="shared" si="29"/>
        <v>336363.63636363635</v>
      </c>
      <c r="M41" s="17">
        <f t="shared" si="29"/>
        <v>336363.63636363635</v>
      </c>
      <c r="N41" s="17">
        <f t="shared" si="29"/>
        <v>336363.63636363635</v>
      </c>
      <c r="O41" s="17">
        <f t="shared" si="29"/>
        <v>336363.63636363635</v>
      </c>
      <c r="P41" s="17">
        <f t="shared" si="29"/>
        <v>336363.63636363635</v>
      </c>
      <c r="Q41" s="17">
        <f t="shared" si="29"/>
        <v>336363.63636363635</v>
      </c>
      <c r="R41" s="17">
        <f t="shared" si="29"/>
        <v>336363.63636363635</v>
      </c>
      <c r="S41" s="17">
        <f t="shared" si="29"/>
        <v>336363.63636363635</v>
      </c>
      <c r="T41" s="17">
        <f t="shared" si="29"/>
        <v>336363.63636363635</v>
      </c>
      <c r="U41" s="11">
        <f t="shared" si="10"/>
        <v>3699999.9999999991</v>
      </c>
      <c r="V41" s="11">
        <f t="shared" si="11"/>
        <v>0</v>
      </c>
    </row>
    <row r="42" spans="1:22" ht="25.5" x14ac:dyDescent="0.25">
      <c r="A42" s="2" t="s">
        <v>52</v>
      </c>
      <c r="B42" s="3" t="s">
        <v>53</v>
      </c>
      <c r="C42" s="11">
        <v>3700000</v>
      </c>
      <c r="D42" s="12"/>
      <c r="E42" s="13"/>
      <c r="F42" s="13"/>
      <c r="G42" s="14"/>
      <c r="H42" s="27">
        <f t="shared" si="8"/>
        <v>3700000</v>
      </c>
      <c r="I42" s="45"/>
      <c r="J42" s="17">
        <f>3700000/11</f>
        <v>336363.63636363635</v>
      </c>
      <c r="K42" s="17">
        <f t="shared" ref="K42:T42" si="30">3700000/11</f>
        <v>336363.63636363635</v>
      </c>
      <c r="L42" s="17">
        <f t="shared" si="30"/>
        <v>336363.63636363635</v>
      </c>
      <c r="M42" s="17">
        <f t="shared" si="30"/>
        <v>336363.63636363635</v>
      </c>
      <c r="N42" s="17">
        <f t="shared" si="30"/>
        <v>336363.63636363635</v>
      </c>
      <c r="O42" s="17">
        <f t="shared" si="30"/>
        <v>336363.63636363635</v>
      </c>
      <c r="P42" s="17">
        <f t="shared" si="30"/>
        <v>336363.63636363635</v>
      </c>
      <c r="Q42" s="17">
        <f t="shared" si="30"/>
        <v>336363.63636363635</v>
      </c>
      <c r="R42" s="17">
        <f t="shared" si="30"/>
        <v>336363.63636363635</v>
      </c>
      <c r="S42" s="17">
        <f t="shared" si="30"/>
        <v>336363.63636363635</v>
      </c>
      <c r="T42" s="17">
        <f t="shared" si="30"/>
        <v>336363.63636363635</v>
      </c>
      <c r="U42" s="11">
        <f t="shared" si="10"/>
        <v>3699999.9999999991</v>
      </c>
      <c r="V42" s="11">
        <f t="shared" si="11"/>
        <v>0</v>
      </c>
    </row>
    <row r="43" spans="1:22" ht="25.5" x14ac:dyDescent="0.25">
      <c r="A43" s="2" t="s">
        <v>64</v>
      </c>
      <c r="B43" s="3" t="s">
        <v>65</v>
      </c>
      <c r="C43" s="11">
        <v>0</v>
      </c>
      <c r="D43" s="12">
        <v>300000</v>
      </c>
      <c r="E43" s="13"/>
      <c r="F43" s="13"/>
      <c r="G43" s="14"/>
      <c r="H43" s="27">
        <f t="shared" si="8"/>
        <v>300000</v>
      </c>
      <c r="I43" s="45"/>
      <c r="J43" s="17">
        <f>300000/11</f>
        <v>27272.727272727272</v>
      </c>
      <c r="K43" s="17">
        <f t="shared" ref="K43:T43" si="31">300000/11</f>
        <v>27272.727272727272</v>
      </c>
      <c r="L43" s="17">
        <f t="shared" si="31"/>
        <v>27272.727272727272</v>
      </c>
      <c r="M43" s="17">
        <f t="shared" si="31"/>
        <v>27272.727272727272</v>
      </c>
      <c r="N43" s="17">
        <f t="shared" si="31"/>
        <v>27272.727272727272</v>
      </c>
      <c r="O43" s="17">
        <f t="shared" si="31"/>
        <v>27272.727272727272</v>
      </c>
      <c r="P43" s="17">
        <f t="shared" si="31"/>
        <v>27272.727272727272</v>
      </c>
      <c r="Q43" s="17">
        <f t="shared" si="31"/>
        <v>27272.727272727272</v>
      </c>
      <c r="R43" s="17">
        <f t="shared" si="31"/>
        <v>27272.727272727272</v>
      </c>
      <c r="S43" s="17">
        <f t="shared" si="31"/>
        <v>27272.727272727272</v>
      </c>
      <c r="T43" s="17">
        <f t="shared" si="31"/>
        <v>27272.727272727272</v>
      </c>
      <c r="U43" s="11">
        <f t="shared" si="10"/>
        <v>300000</v>
      </c>
      <c r="V43" s="11">
        <f t="shared" si="11"/>
        <v>0</v>
      </c>
    </row>
    <row r="44" spans="1:22" ht="25.5" x14ac:dyDescent="0.25">
      <c r="A44" s="2" t="s">
        <v>54</v>
      </c>
      <c r="B44" s="3" t="s">
        <v>55</v>
      </c>
      <c r="C44" s="11">
        <v>0</v>
      </c>
      <c r="D44" s="12">
        <v>959359</v>
      </c>
      <c r="E44" s="13"/>
      <c r="F44" s="13"/>
      <c r="G44" s="14"/>
      <c r="H44" s="27">
        <f t="shared" si="8"/>
        <v>959359</v>
      </c>
      <c r="I44" s="45">
        <v>406459</v>
      </c>
      <c r="J44" s="17">
        <f>552900/11</f>
        <v>50263.63636363636</v>
      </c>
      <c r="K44" s="17">
        <f t="shared" ref="K44:T44" si="32">552900/11</f>
        <v>50263.63636363636</v>
      </c>
      <c r="L44" s="17">
        <f t="shared" si="32"/>
        <v>50263.63636363636</v>
      </c>
      <c r="M44" s="17">
        <f t="shared" si="32"/>
        <v>50263.63636363636</v>
      </c>
      <c r="N44" s="17">
        <f t="shared" si="32"/>
        <v>50263.63636363636</v>
      </c>
      <c r="O44" s="17">
        <f t="shared" si="32"/>
        <v>50263.63636363636</v>
      </c>
      <c r="P44" s="17">
        <f t="shared" si="32"/>
        <v>50263.63636363636</v>
      </c>
      <c r="Q44" s="17">
        <f t="shared" si="32"/>
        <v>50263.63636363636</v>
      </c>
      <c r="R44" s="17">
        <f t="shared" si="32"/>
        <v>50263.63636363636</v>
      </c>
      <c r="S44" s="17">
        <f t="shared" si="32"/>
        <v>50263.63636363636</v>
      </c>
      <c r="T44" s="17">
        <f t="shared" si="32"/>
        <v>50263.63636363636</v>
      </c>
      <c r="U44" s="11">
        <f t="shared" si="10"/>
        <v>959358.99999999988</v>
      </c>
      <c r="V44" s="11">
        <f t="shared" si="11"/>
        <v>0</v>
      </c>
    </row>
    <row r="45" spans="1:22" ht="25.5" x14ac:dyDescent="0.25">
      <c r="A45" s="2" t="s">
        <v>56</v>
      </c>
      <c r="B45" s="3" t="s">
        <v>57</v>
      </c>
      <c r="C45" s="11">
        <v>1000</v>
      </c>
      <c r="D45" s="12"/>
      <c r="E45" s="13"/>
      <c r="F45" s="13"/>
      <c r="G45" s="14"/>
      <c r="H45" s="27">
        <f t="shared" si="8"/>
        <v>1000</v>
      </c>
      <c r="I45" s="45"/>
      <c r="J45" s="17">
        <f>1000/11</f>
        <v>90.909090909090907</v>
      </c>
      <c r="K45" s="17">
        <f t="shared" ref="K45:T45" si="33">1000/11</f>
        <v>90.909090909090907</v>
      </c>
      <c r="L45" s="17">
        <f t="shared" si="33"/>
        <v>90.909090909090907</v>
      </c>
      <c r="M45" s="17">
        <f t="shared" si="33"/>
        <v>90.909090909090907</v>
      </c>
      <c r="N45" s="17">
        <f t="shared" si="33"/>
        <v>90.909090909090907</v>
      </c>
      <c r="O45" s="17">
        <f t="shared" si="33"/>
        <v>90.909090909090907</v>
      </c>
      <c r="P45" s="17">
        <f t="shared" si="33"/>
        <v>90.909090909090907</v>
      </c>
      <c r="Q45" s="17">
        <f t="shared" si="33"/>
        <v>90.909090909090907</v>
      </c>
      <c r="R45" s="17">
        <f t="shared" si="33"/>
        <v>90.909090909090907</v>
      </c>
      <c r="S45" s="17">
        <f t="shared" si="33"/>
        <v>90.909090909090907</v>
      </c>
      <c r="T45" s="17">
        <f t="shared" si="33"/>
        <v>90.909090909090907</v>
      </c>
      <c r="U45" s="11">
        <f t="shared" si="10"/>
        <v>999.99999999999977</v>
      </c>
      <c r="V45" s="11">
        <f t="shared" si="11"/>
        <v>0</v>
      </c>
    </row>
    <row r="46" spans="1:22" ht="13.5" thickBot="1" x14ac:dyDescent="0.3">
      <c r="A46" s="6"/>
      <c r="B46" s="7"/>
      <c r="C46" s="19"/>
      <c r="D46" s="20"/>
      <c r="E46" s="21"/>
      <c r="F46" s="21"/>
      <c r="G46" s="22"/>
      <c r="H46" s="38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42"/>
      <c r="U46" s="43"/>
      <c r="V46" s="19"/>
    </row>
    <row r="47" spans="1:22" ht="13.5" thickBot="1" x14ac:dyDescent="0.3">
      <c r="A47" s="66" t="s">
        <v>26</v>
      </c>
      <c r="B47" s="67"/>
      <c r="C47" s="23">
        <f t="shared" ref="C47:V47" si="34">SUM(C22:C46)</f>
        <v>129053000</v>
      </c>
      <c r="D47" s="24">
        <f t="shared" si="34"/>
        <v>20784594</v>
      </c>
      <c r="E47" s="25">
        <f t="shared" si="34"/>
        <v>0</v>
      </c>
      <c r="F47" s="25">
        <f t="shared" si="34"/>
        <v>0</v>
      </c>
      <c r="G47" s="26">
        <f t="shared" si="34"/>
        <v>0</v>
      </c>
      <c r="H47" s="23">
        <f t="shared" si="34"/>
        <v>149837594</v>
      </c>
      <c r="I47" s="35">
        <f t="shared" si="34"/>
        <v>726807</v>
      </c>
      <c r="J47" s="36">
        <f t="shared" si="34"/>
        <v>11622455.827272726</v>
      </c>
      <c r="K47" s="36">
        <f t="shared" si="34"/>
        <v>11622455.827272726</v>
      </c>
      <c r="L47" s="36">
        <f t="shared" si="34"/>
        <v>11622455.827272726</v>
      </c>
      <c r="M47" s="36">
        <f t="shared" si="34"/>
        <v>11622455.827272726</v>
      </c>
      <c r="N47" s="36">
        <f t="shared" si="34"/>
        <v>11622455.827272726</v>
      </c>
      <c r="O47" s="36">
        <f t="shared" si="34"/>
        <v>18022455.827272728</v>
      </c>
      <c r="P47" s="36">
        <f t="shared" si="34"/>
        <v>18022455.827272728</v>
      </c>
      <c r="Q47" s="36">
        <f t="shared" si="34"/>
        <v>18022455.827272728</v>
      </c>
      <c r="R47" s="36">
        <f t="shared" si="34"/>
        <v>18022455.827272728</v>
      </c>
      <c r="S47" s="36">
        <f t="shared" si="34"/>
        <v>18022455.827272728</v>
      </c>
      <c r="T47" s="37">
        <f t="shared" si="34"/>
        <v>886228.72727272729</v>
      </c>
      <c r="U47" s="23">
        <f t="shared" si="34"/>
        <v>149837594</v>
      </c>
      <c r="V47" s="23">
        <f t="shared" si="34"/>
        <v>0</v>
      </c>
    </row>
    <row r="51" spans="1:2" ht="24" x14ac:dyDescent="0.25">
      <c r="B51" s="103" t="s">
        <v>120</v>
      </c>
    </row>
    <row r="52" spans="1:2" x14ac:dyDescent="0.25">
      <c r="B52" s="101"/>
    </row>
    <row r="54" spans="1:2" ht="11.25" customHeight="1" x14ac:dyDescent="0.25">
      <c r="A54" s="104" t="s">
        <v>122</v>
      </c>
      <c r="B54" s="104" t="s">
        <v>119</v>
      </c>
    </row>
    <row r="55" spans="1:2" ht="11.25" customHeight="1" x14ac:dyDescent="0.25">
      <c r="A55" s="104" t="s">
        <v>121</v>
      </c>
      <c r="B55" s="105"/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7:B47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1" orientation="landscape" r:id="rId1"/>
  <headerFooter>
    <oddFooter>&amp;L&amp;F&amp;C&amp;A&amp;R&amp;P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40" zoomScaleNormal="100" workbookViewId="0">
      <selection activeCell="E71" sqref="E71"/>
    </sheetView>
  </sheetViews>
  <sheetFormatPr baseColWidth="10" defaultColWidth="11.42578125" defaultRowHeight="12.75" x14ac:dyDescent="0.25"/>
  <cols>
    <col min="1" max="1" width="13.85546875" style="1" customWidth="1"/>
    <col min="2" max="2" width="32.7109375" style="1" customWidth="1"/>
    <col min="3" max="3" width="14.7109375" style="1" customWidth="1"/>
    <col min="4" max="4" width="10.7109375" style="1" customWidth="1"/>
    <col min="5" max="6" width="3.85546875" style="1" customWidth="1"/>
    <col min="7" max="7" width="11.140625" style="1" customWidth="1"/>
    <col min="8" max="8" width="11.7109375" style="1" customWidth="1"/>
    <col min="9" max="9" width="10.85546875" style="1" customWidth="1"/>
    <col min="10" max="10" width="10.42578125" style="1" customWidth="1"/>
    <col min="11" max="19" width="10.7109375" style="1" customWidth="1"/>
    <col min="20" max="20" width="8.7109375" style="1" customWidth="1"/>
    <col min="21" max="21" width="12" style="1" customWidth="1"/>
    <col min="22" max="22" width="12.570312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29">
        <f>1669000/10</f>
        <v>166900</v>
      </c>
      <c r="L8" s="29">
        <f t="shared" ref="L8:T8" si="0">1669000/10</f>
        <v>166900</v>
      </c>
      <c r="M8" s="29">
        <f t="shared" si="0"/>
        <v>166900</v>
      </c>
      <c r="N8" s="29">
        <f t="shared" si="0"/>
        <v>166900</v>
      </c>
      <c r="O8" s="29">
        <f t="shared" si="0"/>
        <v>166900</v>
      </c>
      <c r="P8" s="29">
        <f t="shared" si="0"/>
        <v>166900</v>
      </c>
      <c r="Q8" s="29">
        <f t="shared" si="0"/>
        <v>166900</v>
      </c>
      <c r="R8" s="29">
        <f t="shared" si="0"/>
        <v>166900</v>
      </c>
      <c r="S8" s="29">
        <f t="shared" si="0"/>
        <v>166900</v>
      </c>
      <c r="T8" s="29">
        <f t="shared" si="0"/>
        <v>166900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6" si="1">C9+D9-F9</f>
        <v>5500000</v>
      </c>
      <c r="I9" s="45">
        <v>1760000</v>
      </c>
      <c r="J9" s="48">
        <v>231000</v>
      </c>
      <c r="K9" s="17">
        <f>3509000/9</f>
        <v>389888.88888888888</v>
      </c>
      <c r="L9" s="17">
        <f t="shared" ref="L9:S9" si="2">3509000/9</f>
        <v>389888.88888888888</v>
      </c>
      <c r="M9" s="17">
        <f t="shared" si="2"/>
        <v>389888.88888888888</v>
      </c>
      <c r="N9" s="17">
        <f t="shared" si="2"/>
        <v>389888.88888888888</v>
      </c>
      <c r="O9" s="17">
        <f t="shared" si="2"/>
        <v>389888.88888888888</v>
      </c>
      <c r="P9" s="17">
        <f t="shared" si="2"/>
        <v>389888.88888888888</v>
      </c>
      <c r="Q9" s="17">
        <f t="shared" si="2"/>
        <v>389888.88888888888</v>
      </c>
      <c r="R9" s="17">
        <f t="shared" si="2"/>
        <v>389888.88888888888</v>
      </c>
      <c r="S9" s="17">
        <f t="shared" si="2"/>
        <v>389888.88888888888</v>
      </c>
      <c r="T9" s="17"/>
      <c r="U9" s="15">
        <f t="shared" ref="U9:U16" si="3">SUM(I9:T9)</f>
        <v>5500000.0000000009</v>
      </c>
      <c r="V9" s="15">
        <f t="shared" ref="V9:V16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/>
      <c r="E10" s="84"/>
      <c r="F10" s="84"/>
      <c r="G10" s="85"/>
      <c r="H10" s="31">
        <f t="shared" si="1"/>
        <v>89000000</v>
      </c>
      <c r="I10" s="45"/>
      <c r="J10" s="48"/>
      <c r="K10" s="17">
        <v>89000000</v>
      </c>
      <c r="L10" s="17"/>
      <c r="M10" s="17"/>
      <c r="N10" s="17"/>
      <c r="O10" s="17"/>
      <c r="P10" s="17"/>
      <c r="Q10" s="17"/>
      <c r="R10" s="17"/>
      <c r="S10" s="17"/>
      <c r="T10" s="18"/>
      <c r="U10" s="15">
        <f t="shared" si="3"/>
        <v>89000000</v>
      </c>
      <c r="V10" s="15">
        <f t="shared" si="4"/>
        <v>0</v>
      </c>
    </row>
    <row r="11" spans="1:22" ht="25.5" x14ac:dyDescent="0.25">
      <c r="A11" s="4" t="s">
        <v>76</v>
      </c>
      <c r="B11" s="5" t="s">
        <v>77</v>
      </c>
      <c r="C11" s="15">
        <v>32000000</v>
      </c>
      <c r="D11" s="83"/>
      <c r="E11" s="84"/>
      <c r="F11" s="84"/>
      <c r="G11" s="85"/>
      <c r="H11" s="31">
        <f t="shared" si="1"/>
        <v>32000000</v>
      </c>
      <c r="I11" s="45"/>
      <c r="J11" s="48"/>
      <c r="K11" s="17"/>
      <c r="L11" s="17"/>
      <c r="M11" s="17"/>
      <c r="N11" s="17"/>
      <c r="O11" s="17">
        <v>32000000</v>
      </c>
      <c r="P11" s="17"/>
      <c r="Q11" s="17"/>
      <c r="R11" s="17"/>
      <c r="S11" s="17"/>
      <c r="T11" s="18"/>
      <c r="U11" s="15">
        <f t="shared" si="3"/>
        <v>32000000</v>
      </c>
      <c r="V11" s="15">
        <f t="shared" si="4"/>
        <v>0</v>
      </c>
    </row>
    <row r="12" spans="1:22" x14ac:dyDescent="0.25">
      <c r="A12" s="4" t="s">
        <v>28</v>
      </c>
      <c r="B12" s="5" t="s">
        <v>29</v>
      </c>
      <c r="C12" s="15">
        <v>50000</v>
      </c>
      <c r="D12" s="83"/>
      <c r="E12" s="84"/>
      <c r="F12" s="84"/>
      <c r="G12" s="85"/>
      <c r="H12" s="31">
        <f t="shared" si="1"/>
        <v>50000</v>
      </c>
      <c r="I12" s="45">
        <v>197.4</v>
      </c>
      <c r="J12" s="48">
        <v>81.209999999999994</v>
      </c>
      <c r="K12" s="17">
        <f>49721.39/10</f>
        <v>4972.1390000000001</v>
      </c>
      <c r="L12" s="17">
        <f t="shared" ref="L12:T12" si="5">49721.39/10</f>
        <v>4972.1390000000001</v>
      </c>
      <c r="M12" s="17">
        <f t="shared" si="5"/>
        <v>4972.1390000000001</v>
      </c>
      <c r="N12" s="17">
        <f t="shared" si="5"/>
        <v>4972.1390000000001</v>
      </c>
      <c r="O12" s="17">
        <f t="shared" si="5"/>
        <v>4972.1390000000001</v>
      </c>
      <c r="P12" s="17">
        <f t="shared" si="5"/>
        <v>4972.1390000000001</v>
      </c>
      <c r="Q12" s="17">
        <f t="shared" si="5"/>
        <v>4972.1390000000001</v>
      </c>
      <c r="R12" s="17">
        <f t="shared" si="5"/>
        <v>4972.1390000000001</v>
      </c>
      <c r="S12" s="17">
        <f t="shared" si="5"/>
        <v>4972.1390000000001</v>
      </c>
      <c r="T12" s="17">
        <f t="shared" si="5"/>
        <v>4972.1390000000001</v>
      </c>
      <c r="U12" s="15">
        <f t="shared" si="3"/>
        <v>50000.000000000007</v>
      </c>
      <c r="V12" s="15">
        <f t="shared" si="4"/>
        <v>0</v>
      </c>
    </row>
    <row r="13" spans="1:22" x14ac:dyDescent="0.25">
      <c r="A13" s="6" t="s">
        <v>30</v>
      </c>
      <c r="B13" s="7" t="s">
        <v>31</v>
      </c>
      <c r="C13" s="19">
        <v>1000</v>
      </c>
      <c r="D13" s="83">
        <v>4314964</v>
      </c>
      <c r="E13" s="84"/>
      <c r="F13" s="84"/>
      <c r="G13" s="85"/>
      <c r="H13" s="31">
        <f t="shared" si="1"/>
        <v>4315964</v>
      </c>
      <c r="I13" s="46">
        <v>4314964</v>
      </c>
      <c r="J13" s="49"/>
      <c r="K13" s="21">
        <v>1000</v>
      </c>
      <c r="L13" s="21"/>
      <c r="M13" s="21"/>
      <c r="N13" s="21"/>
      <c r="O13" s="21"/>
      <c r="P13" s="21"/>
      <c r="Q13" s="21"/>
      <c r="R13" s="21"/>
      <c r="S13" s="21"/>
      <c r="T13" s="22"/>
      <c r="U13" s="15">
        <f t="shared" si="3"/>
        <v>4315964</v>
      </c>
      <c r="V13" s="15">
        <f t="shared" si="4"/>
        <v>0</v>
      </c>
    </row>
    <row r="14" spans="1:22" x14ac:dyDescent="0.25">
      <c r="A14" s="6" t="s">
        <v>32</v>
      </c>
      <c r="B14" s="7" t="s">
        <v>33</v>
      </c>
      <c r="C14" s="19">
        <v>1000</v>
      </c>
      <c r="D14" s="83">
        <v>5759359</v>
      </c>
      <c r="E14" s="84"/>
      <c r="F14" s="84"/>
      <c r="G14" s="85"/>
      <c r="H14" s="31">
        <f t="shared" si="1"/>
        <v>5760359</v>
      </c>
      <c r="I14" s="46">
        <v>5759359</v>
      </c>
      <c r="J14" s="49"/>
      <c r="K14" s="21">
        <v>1000</v>
      </c>
      <c r="L14" s="21"/>
      <c r="M14" s="21"/>
      <c r="N14" s="21"/>
      <c r="O14" s="21"/>
      <c r="P14" s="21"/>
      <c r="Q14" s="21"/>
      <c r="R14" s="21"/>
      <c r="S14" s="21"/>
      <c r="T14" s="22"/>
      <c r="U14" s="15">
        <f t="shared" si="3"/>
        <v>5760359</v>
      </c>
      <c r="V14" s="15">
        <f t="shared" si="4"/>
        <v>0</v>
      </c>
    </row>
    <row r="15" spans="1:22" x14ac:dyDescent="0.25">
      <c r="A15" s="6" t="s">
        <v>34</v>
      </c>
      <c r="B15" s="7" t="s">
        <v>35</v>
      </c>
      <c r="C15" s="19">
        <v>1000</v>
      </c>
      <c r="D15" s="83">
        <v>10710271</v>
      </c>
      <c r="E15" s="84"/>
      <c r="F15" s="84"/>
      <c r="G15" s="85"/>
      <c r="H15" s="31">
        <f t="shared" si="1"/>
        <v>10711271</v>
      </c>
      <c r="I15" s="46">
        <v>10710271</v>
      </c>
      <c r="J15" s="49"/>
      <c r="K15" s="21">
        <v>1000</v>
      </c>
      <c r="L15" s="21"/>
      <c r="M15" s="21"/>
      <c r="N15" s="21"/>
      <c r="O15" s="21"/>
      <c r="P15" s="21"/>
      <c r="Q15" s="21"/>
      <c r="R15" s="21"/>
      <c r="S15" s="21"/>
      <c r="T15" s="22"/>
      <c r="U15" s="15">
        <f t="shared" si="3"/>
        <v>10711271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87"/>
      <c r="E16" s="88"/>
      <c r="F16" s="88"/>
      <c r="G16" s="90"/>
      <c r="H16" s="31">
        <f t="shared" si="1"/>
        <v>0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15">
        <f t="shared" si="3"/>
        <v>0</v>
      </c>
      <c r="V16" s="15">
        <f t="shared" si="4"/>
        <v>0</v>
      </c>
    </row>
    <row r="17" spans="1:22" ht="13.5" thickBot="1" x14ac:dyDescent="0.3">
      <c r="A17" s="66" t="s">
        <v>26</v>
      </c>
      <c r="B17" s="67"/>
      <c r="C17" s="23">
        <f>SUM(C8:C16)</f>
        <v>129053000</v>
      </c>
      <c r="D17" s="79">
        <f>SUM(D8:E16)</f>
        <v>20784594</v>
      </c>
      <c r="E17" s="80"/>
      <c r="F17" s="79">
        <f>SUM(F8:G16)</f>
        <v>0</v>
      </c>
      <c r="G17" s="80"/>
      <c r="H17" s="23">
        <f t="shared" ref="H17:V17" si="6">SUM(H8:H16)</f>
        <v>149837594</v>
      </c>
      <c r="I17" s="35">
        <f t="shared" si="6"/>
        <v>23164791.399999999</v>
      </c>
      <c r="J17" s="36">
        <f t="shared" si="6"/>
        <v>442081.21</v>
      </c>
      <c r="K17" s="36">
        <f t="shared" si="6"/>
        <v>89564761.027888894</v>
      </c>
      <c r="L17" s="36">
        <f t="shared" si="6"/>
        <v>561761.02788888884</v>
      </c>
      <c r="M17" s="36">
        <f t="shared" si="6"/>
        <v>561761.02788888884</v>
      </c>
      <c r="N17" s="36">
        <f t="shared" si="6"/>
        <v>561761.02788888884</v>
      </c>
      <c r="O17" s="36">
        <f t="shared" si="6"/>
        <v>32561761.027888887</v>
      </c>
      <c r="P17" s="36">
        <f t="shared" si="6"/>
        <v>561761.02788888884</v>
      </c>
      <c r="Q17" s="36">
        <f t="shared" si="6"/>
        <v>561761.02788888884</v>
      </c>
      <c r="R17" s="36">
        <f t="shared" si="6"/>
        <v>561761.02788888884</v>
      </c>
      <c r="S17" s="36">
        <f t="shared" si="6"/>
        <v>561761.02788888884</v>
      </c>
      <c r="T17" s="37">
        <f t="shared" si="6"/>
        <v>171872.139</v>
      </c>
      <c r="U17" s="23">
        <f t="shared" si="6"/>
        <v>149837594</v>
      </c>
      <c r="V17" s="23">
        <f t="shared" si="6"/>
        <v>0</v>
      </c>
    </row>
    <row r="19" spans="1:22" ht="13.5" thickBot="1" x14ac:dyDescent="0.3">
      <c r="A19" s="86" t="s">
        <v>23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x14ac:dyDescent="0.25">
      <c r="A20" s="72" t="s">
        <v>2</v>
      </c>
      <c r="B20" s="70" t="s">
        <v>3</v>
      </c>
      <c r="C20" s="64" t="s">
        <v>4</v>
      </c>
      <c r="D20" s="75" t="s">
        <v>5</v>
      </c>
      <c r="E20" s="76"/>
      <c r="F20" s="76"/>
      <c r="G20" s="77"/>
      <c r="H20" s="64" t="s">
        <v>8</v>
      </c>
      <c r="I20" s="72" t="s">
        <v>9</v>
      </c>
      <c r="J20" s="68" t="s">
        <v>10</v>
      </c>
      <c r="K20" s="68" t="s">
        <v>11</v>
      </c>
      <c r="L20" s="68" t="s">
        <v>12</v>
      </c>
      <c r="M20" s="68" t="s">
        <v>13</v>
      </c>
      <c r="N20" s="68" t="s">
        <v>14</v>
      </c>
      <c r="O20" s="68" t="s">
        <v>15</v>
      </c>
      <c r="P20" s="68" t="s">
        <v>16</v>
      </c>
      <c r="Q20" s="68" t="s">
        <v>17</v>
      </c>
      <c r="R20" s="68" t="s">
        <v>18</v>
      </c>
      <c r="S20" s="68" t="s">
        <v>19</v>
      </c>
      <c r="T20" s="70" t="s">
        <v>20</v>
      </c>
      <c r="U20" s="64" t="s">
        <v>21</v>
      </c>
      <c r="V20" s="64" t="s">
        <v>22</v>
      </c>
    </row>
    <row r="21" spans="1:22" ht="90" thickBot="1" x14ac:dyDescent="0.3">
      <c r="A21" s="73"/>
      <c r="B21" s="74"/>
      <c r="C21" s="65"/>
      <c r="D21" s="8" t="s">
        <v>6</v>
      </c>
      <c r="E21" s="9" t="s">
        <v>7</v>
      </c>
      <c r="F21" s="9" t="s">
        <v>24</v>
      </c>
      <c r="G21" s="10" t="s">
        <v>25</v>
      </c>
      <c r="H21" s="65"/>
      <c r="I21" s="7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1"/>
      <c r="U21" s="65"/>
      <c r="V21" s="65"/>
    </row>
    <row r="22" spans="1:22" ht="25.5" x14ac:dyDescent="0.25">
      <c r="A22" s="2" t="s">
        <v>62</v>
      </c>
      <c r="B22" s="3" t="s">
        <v>63</v>
      </c>
      <c r="C22" s="11">
        <v>4800000</v>
      </c>
      <c r="D22" s="12"/>
      <c r="E22" s="13"/>
      <c r="F22" s="13"/>
      <c r="G22" s="14"/>
      <c r="H22" s="27">
        <f>C22+D22-E22+F22-G22</f>
        <v>4800000</v>
      </c>
      <c r="I22" s="44"/>
      <c r="J22" s="47"/>
      <c r="K22" s="29"/>
      <c r="L22" s="29"/>
      <c r="M22" s="29"/>
      <c r="N22" s="29"/>
      <c r="O22" s="29">
        <f>4800000/5</f>
        <v>960000</v>
      </c>
      <c r="P22" s="29">
        <f t="shared" ref="P22:S22" si="7">4800000/5</f>
        <v>960000</v>
      </c>
      <c r="Q22" s="29">
        <f t="shared" si="7"/>
        <v>960000</v>
      </c>
      <c r="R22" s="29">
        <f t="shared" si="7"/>
        <v>960000</v>
      </c>
      <c r="S22" s="29">
        <f t="shared" si="7"/>
        <v>960000</v>
      </c>
      <c r="T22" s="39"/>
      <c r="U22" s="40">
        <f>SUM(I22:T22)</f>
        <v>4800000</v>
      </c>
      <c r="V22" s="11">
        <f>H22-U22</f>
        <v>0</v>
      </c>
    </row>
    <row r="23" spans="1:22" ht="25.5" x14ac:dyDescent="0.25">
      <c r="A23" s="2" t="s">
        <v>36</v>
      </c>
      <c r="B23" s="3" t="s">
        <v>37</v>
      </c>
      <c r="C23" s="11">
        <v>8600000</v>
      </c>
      <c r="D23" s="12"/>
      <c r="E23" s="13"/>
      <c r="F23" s="13"/>
      <c r="G23" s="14"/>
      <c r="H23" s="27">
        <f t="shared" ref="H23:H45" si="8">C23+D23-E23+F23-G23</f>
        <v>8600000</v>
      </c>
      <c r="I23" s="45"/>
      <c r="J23" s="48"/>
      <c r="K23" s="17"/>
      <c r="L23" s="17"/>
      <c r="M23" s="17"/>
      <c r="N23" s="17"/>
      <c r="O23" s="17">
        <f>8600000/5</f>
        <v>1720000</v>
      </c>
      <c r="P23" s="17">
        <f t="shared" ref="P23:S23" si="9">8600000/5</f>
        <v>1720000</v>
      </c>
      <c r="Q23" s="17">
        <f t="shared" si="9"/>
        <v>1720000</v>
      </c>
      <c r="R23" s="17">
        <f t="shared" si="9"/>
        <v>1720000</v>
      </c>
      <c r="S23" s="17">
        <f t="shared" si="9"/>
        <v>1720000</v>
      </c>
      <c r="T23" s="41"/>
      <c r="U23" s="11">
        <f t="shared" ref="U23:U45" si="10">SUM(I23:T23)</f>
        <v>8600000</v>
      </c>
      <c r="V23" s="11">
        <f t="shared" ref="V23:V45" si="11">H23-U23</f>
        <v>0</v>
      </c>
    </row>
    <row r="24" spans="1:22" ht="25.5" x14ac:dyDescent="0.25">
      <c r="A24" s="2" t="s">
        <v>38</v>
      </c>
      <c r="B24" s="3" t="s">
        <v>39</v>
      </c>
      <c r="C24" s="11">
        <v>12500000</v>
      </c>
      <c r="D24" s="12"/>
      <c r="E24" s="13"/>
      <c r="F24" s="13"/>
      <c r="G24" s="14"/>
      <c r="H24" s="27">
        <f t="shared" si="8"/>
        <v>12500000</v>
      </c>
      <c r="I24" s="45"/>
      <c r="J24" s="48"/>
      <c r="K24" s="17">
        <f>12500000/9</f>
        <v>1388888.888888889</v>
      </c>
      <c r="L24" s="17">
        <f t="shared" ref="L24:S24" si="12">12500000/9</f>
        <v>1388888.888888889</v>
      </c>
      <c r="M24" s="17">
        <f t="shared" si="12"/>
        <v>1388888.888888889</v>
      </c>
      <c r="N24" s="17">
        <f t="shared" si="12"/>
        <v>1388888.888888889</v>
      </c>
      <c r="O24" s="17">
        <f t="shared" si="12"/>
        <v>1388888.888888889</v>
      </c>
      <c r="P24" s="17">
        <f t="shared" si="12"/>
        <v>1388888.888888889</v>
      </c>
      <c r="Q24" s="17">
        <f t="shared" si="12"/>
        <v>1388888.888888889</v>
      </c>
      <c r="R24" s="17">
        <f t="shared" si="12"/>
        <v>1388888.888888889</v>
      </c>
      <c r="S24" s="17">
        <f t="shared" si="12"/>
        <v>1388888.888888889</v>
      </c>
      <c r="T24" s="41"/>
      <c r="U24" s="11">
        <f t="shared" si="10"/>
        <v>12500000</v>
      </c>
      <c r="V24" s="11">
        <f t="shared" si="11"/>
        <v>0</v>
      </c>
    </row>
    <row r="25" spans="1:22" ht="25.5" x14ac:dyDescent="0.25">
      <c r="A25" s="2" t="s">
        <v>67</v>
      </c>
      <c r="B25" s="3" t="s">
        <v>68</v>
      </c>
      <c r="C25" s="11">
        <v>12000000</v>
      </c>
      <c r="D25" s="12"/>
      <c r="E25" s="13"/>
      <c r="F25" s="13"/>
      <c r="G25" s="14"/>
      <c r="H25" s="27">
        <f t="shared" si="8"/>
        <v>12000000</v>
      </c>
      <c r="I25" s="45"/>
      <c r="J25" s="48"/>
      <c r="K25" s="17"/>
      <c r="L25" s="17"/>
      <c r="M25" s="17"/>
      <c r="N25" s="17"/>
      <c r="O25" s="17">
        <f>12000000/5</f>
        <v>2400000</v>
      </c>
      <c r="P25" s="17">
        <f t="shared" ref="P25:S25" si="13">12000000/5</f>
        <v>2400000</v>
      </c>
      <c r="Q25" s="17">
        <f t="shared" si="13"/>
        <v>2400000</v>
      </c>
      <c r="R25" s="17">
        <f t="shared" si="13"/>
        <v>2400000</v>
      </c>
      <c r="S25" s="17">
        <f t="shared" si="13"/>
        <v>2400000</v>
      </c>
      <c r="T25" s="41"/>
      <c r="U25" s="11">
        <f t="shared" si="10"/>
        <v>12000000</v>
      </c>
      <c r="V25" s="11">
        <f t="shared" si="11"/>
        <v>0</v>
      </c>
    </row>
    <row r="26" spans="1:22" ht="38.25" x14ac:dyDescent="0.25">
      <c r="A26" s="2" t="s">
        <v>78</v>
      </c>
      <c r="B26" s="3" t="s">
        <v>79</v>
      </c>
      <c r="C26" s="11">
        <v>1000</v>
      </c>
      <c r="D26" s="12"/>
      <c r="E26" s="13"/>
      <c r="F26" s="13"/>
      <c r="G26" s="14"/>
      <c r="H26" s="27">
        <f t="shared" si="8"/>
        <v>1000</v>
      </c>
      <c r="I26" s="45"/>
      <c r="J26" s="48"/>
      <c r="K26" s="17">
        <f>1000/9</f>
        <v>111.11111111111111</v>
      </c>
      <c r="L26" s="17">
        <f t="shared" ref="L26:S26" si="14">1000/9</f>
        <v>111.11111111111111</v>
      </c>
      <c r="M26" s="17">
        <f t="shared" si="14"/>
        <v>111.11111111111111</v>
      </c>
      <c r="N26" s="17">
        <f t="shared" si="14"/>
        <v>111.11111111111111</v>
      </c>
      <c r="O26" s="17">
        <f t="shared" si="14"/>
        <v>111.11111111111111</v>
      </c>
      <c r="P26" s="17">
        <f t="shared" si="14"/>
        <v>111.11111111111111</v>
      </c>
      <c r="Q26" s="17">
        <f t="shared" si="14"/>
        <v>111.11111111111111</v>
      </c>
      <c r="R26" s="17">
        <f t="shared" si="14"/>
        <v>111.11111111111111</v>
      </c>
      <c r="S26" s="17">
        <f t="shared" si="14"/>
        <v>111.11111111111111</v>
      </c>
      <c r="T26" s="41"/>
      <c r="U26" s="11">
        <f t="shared" si="10"/>
        <v>999.99999999999989</v>
      </c>
      <c r="V26" s="11">
        <f t="shared" si="11"/>
        <v>0</v>
      </c>
    </row>
    <row r="27" spans="1:22" ht="25.5" x14ac:dyDescent="0.25">
      <c r="A27" s="2" t="s">
        <v>80</v>
      </c>
      <c r="B27" s="3" t="s">
        <v>81</v>
      </c>
      <c r="C27" s="11">
        <v>50000</v>
      </c>
      <c r="D27" s="12"/>
      <c r="E27" s="13"/>
      <c r="F27" s="13"/>
      <c r="G27" s="14"/>
      <c r="H27" s="27">
        <f t="shared" si="8"/>
        <v>50000</v>
      </c>
      <c r="I27" s="45"/>
      <c r="J27" s="48"/>
      <c r="K27" s="17">
        <f>50000/9</f>
        <v>5555.5555555555557</v>
      </c>
      <c r="L27" s="17">
        <f t="shared" ref="L27:S27" si="15">50000/9</f>
        <v>5555.5555555555557</v>
      </c>
      <c r="M27" s="17">
        <f t="shared" si="15"/>
        <v>5555.5555555555557</v>
      </c>
      <c r="N27" s="17">
        <f t="shared" si="15"/>
        <v>5555.5555555555557</v>
      </c>
      <c r="O27" s="17">
        <f t="shared" si="15"/>
        <v>5555.5555555555557</v>
      </c>
      <c r="P27" s="17">
        <f t="shared" si="15"/>
        <v>5555.5555555555557</v>
      </c>
      <c r="Q27" s="17">
        <f t="shared" si="15"/>
        <v>5555.5555555555557</v>
      </c>
      <c r="R27" s="17">
        <f t="shared" si="15"/>
        <v>5555.5555555555557</v>
      </c>
      <c r="S27" s="17">
        <f t="shared" si="15"/>
        <v>5555.5555555555557</v>
      </c>
      <c r="T27" s="41"/>
      <c r="U27" s="11">
        <f t="shared" si="10"/>
        <v>50000</v>
      </c>
      <c r="V27" s="11">
        <f t="shared" si="11"/>
        <v>0</v>
      </c>
    </row>
    <row r="28" spans="1:22" ht="25.5" x14ac:dyDescent="0.25">
      <c r="A28" s="2" t="s">
        <v>40</v>
      </c>
      <c r="B28" s="3" t="s">
        <v>41</v>
      </c>
      <c r="C28" s="11">
        <v>20400000</v>
      </c>
      <c r="D28" s="12"/>
      <c r="E28" s="13"/>
      <c r="F28" s="13"/>
      <c r="G28" s="14"/>
      <c r="H28" s="27">
        <f t="shared" si="8"/>
        <v>20400000</v>
      </c>
      <c r="I28" s="45"/>
      <c r="J28" s="48"/>
      <c r="K28" s="17">
        <f>20400000/9</f>
        <v>2266666.6666666665</v>
      </c>
      <c r="L28" s="17">
        <f t="shared" ref="L28:S28" si="16">20400000/9</f>
        <v>2266666.6666666665</v>
      </c>
      <c r="M28" s="17">
        <f t="shared" si="16"/>
        <v>2266666.6666666665</v>
      </c>
      <c r="N28" s="17">
        <f t="shared" si="16"/>
        <v>2266666.6666666665</v>
      </c>
      <c r="O28" s="17">
        <f t="shared" si="16"/>
        <v>2266666.6666666665</v>
      </c>
      <c r="P28" s="17">
        <f t="shared" si="16"/>
        <v>2266666.6666666665</v>
      </c>
      <c r="Q28" s="17">
        <f t="shared" si="16"/>
        <v>2266666.6666666665</v>
      </c>
      <c r="R28" s="17">
        <f t="shared" si="16"/>
        <v>2266666.6666666665</v>
      </c>
      <c r="S28" s="17">
        <f t="shared" si="16"/>
        <v>2266666.6666666665</v>
      </c>
      <c r="T28" s="41"/>
      <c r="U28" s="11">
        <f t="shared" si="10"/>
        <v>20400000</v>
      </c>
      <c r="V28" s="11">
        <f t="shared" si="11"/>
        <v>0</v>
      </c>
    </row>
    <row r="29" spans="1:22" ht="25.5" x14ac:dyDescent="0.25">
      <c r="A29" s="2" t="s">
        <v>42</v>
      </c>
      <c r="B29" s="3" t="s">
        <v>43</v>
      </c>
      <c r="C29" s="11">
        <v>6600000</v>
      </c>
      <c r="D29" s="12"/>
      <c r="E29" s="13"/>
      <c r="F29" s="13"/>
      <c r="G29" s="14"/>
      <c r="H29" s="27">
        <f t="shared" si="8"/>
        <v>6600000</v>
      </c>
      <c r="I29" s="45"/>
      <c r="J29" s="48"/>
      <c r="K29" s="17"/>
      <c r="L29" s="17"/>
      <c r="M29" s="17"/>
      <c r="N29" s="17"/>
      <c r="O29" s="17">
        <f>6600000/5</f>
        <v>1320000</v>
      </c>
      <c r="P29" s="17">
        <f t="shared" ref="P29:S29" si="17">6600000/5</f>
        <v>1320000</v>
      </c>
      <c r="Q29" s="17">
        <f t="shared" si="17"/>
        <v>1320000</v>
      </c>
      <c r="R29" s="17">
        <f t="shared" si="17"/>
        <v>1320000</v>
      </c>
      <c r="S29" s="17">
        <f t="shared" si="17"/>
        <v>1320000</v>
      </c>
      <c r="T29" s="41"/>
      <c r="U29" s="11">
        <f t="shared" si="10"/>
        <v>6600000</v>
      </c>
      <c r="V29" s="11">
        <f t="shared" si="11"/>
        <v>0</v>
      </c>
    </row>
    <row r="30" spans="1:22" ht="25.5" x14ac:dyDescent="0.25">
      <c r="A30" s="2" t="s">
        <v>82</v>
      </c>
      <c r="B30" s="3" t="s">
        <v>83</v>
      </c>
      <c r="C30" s="11">
        <v>0</v>
      </c>
      <c r="D30" s="12">
        <v>3700000</v>
      </c>
      <c r="E30" s="13"/>
      <c r="F30" s="13"/>
      <c r="G30" s="14"/>
      <c r="H30" s="27">
        <f t="shared" si="8"/>
        <v>3700000</v>
      </c>
      <c r="I30" s="45"/>
      <c r="J30" s="48"/>
      <c r="K30" s="17">
        <f>3700000/9</f>
        <v>411111.11111111112</v>
      </c>
      <c r="L30" s="17">
        <f t="shared" ref="L30:S30" si="18">3700000/9</f>
        <v>411111.11111111112</v>
      </c>
      <c r="M30" s="17">
        <f t="shared" si="18"/>
        <v>411111.11111111112</v>
      </c>
      <c r="N30" s="17">
        <f t="shared" si="18"/>
        <v>411111.11111111112</v>
      </c>
      <c r="O30" s="17">
        <f t="shared" si="18"/>
        <v>411111.11111111112</v>
      </c>
      <c r="P30" s="17">
        <f t="shared" si="18"/>
        <v>411111.11111111112</v>
      </c>
      <c r="Q30" s="17">
        <f t="shared" si="18"/>
        <v>411111.11111111112</v>
      </c>
      <c r="R30" s="17">
        <f t="shared" si="18"/>
        <v>411111.11111111112</v>
      </c>
      <c r="S30" s="17">
        <f t="shared" si="18"/>
        <v>411111.11111111112</v>
      </c>
      <c r="T30" s="41"/>
      <c r="U30" s="11">
        <f t="shared" si="10"/>
        <v>3699999.9999999995</v>
      </c>
      <c r="V30" s="11">
        <f t="shared" si="11"/>
        <v>0</v>
      </c>
    </row>
    <row r="31" spans="1:22" ht="25.5" x14ac:dyDescent="0.25">
      <c r="A31" s="2" t="s">
        <v>60</v>
      </c>
      <c r="B31" s="3" t="s">
        <v>61</v>
      </c>
      <c r="C31" s="11">
        <v>1000</v>
      </c>
      <c r="D31" s="12">
        <v>4110271</v>
      </c>
      <c r="E31" s="13"/>
      <c r="F31" s="13"/>
      <c r="G31" s="14"/>
      <c r="H31" s="27">
        <f t="shared" si="8"/>
        <v>4111271</v>
      </c>
      <c r="I31" s="45"/>
      <c r="J31" s="48"/>
      <c r="K31" s="17">
        <f>4111271/9</f>
        <v>456807.88888888888</v>
      </c>
      <c r="L31" s="17">
        <f t="shared" ref="L31:S31" si="19">4111271/9</f>
        <v>456807.88888888888</v>
      </c>
      <c r="M31" s="17">
        <f t="shared" si="19"/>
        <v>456807.88888888888</v>
      </c>
      <c r="N31" s="17">
        <f t="shared" si="19"/>
        <v>456807.88888888888</v>
      </c>
      <c r="O31" s="17">
        <f t="shared" si="19"/>
        <v>456807.88888888888</v>
      </c>
      <c r="P31" s="17">
        <f t="shared" si="19"/>
        <v>456807.88888888888</v>
      </c>
      <c r="Q31" s="17">
        <f t="shared" si="19"/>
        <v>456807.88888888888</v>
      </c>
      <c r="R31" s="17">
        <f t="shared" si="19"/>
        <v>456807.88888888888</v>
      </c>
      <c r="S31" s="17">
        <f t="shared" si="19"/>
        <v>456807.88888888888</v>
      </c>
      <c r="T31" s="41"/>
      <c r="U31" s="11">
        <f t="shared" si="10"/>
        <v>4111271.0000000005</v>
      </c>
      <c r="V31" s="11">
        <f t="shared" si="11"/>
        <v>0</v>
      </c>
    </row>
    <row r="32" spans="1:22" ht="25.5" x14ac:dyDescent="0.25">
      <c r="A32" s="2" t="s">
        <v>44</v>
      </c>
      <c r="B32" s="3" t="s">
        <v>45</v>
      </c>
      <c r="C32" s="11">
        <v>1500000</v>
      </c>
      <c r="D32" s="12"/>
      <c r="E32" s="13"/>
      <c r="F32" s="13"/>
      <c r="G32" s="14"/>
      <c r="H32" s="27">
        <f t="shared" si="8"/>
        <v>1500000</v>
      </c>
      <c r="I32" s="45">
        <v>300118</v>
      </c>
      <c r="J32" s="48">
        <v>967</v>
      </c>
      <c r="K32" s="17">
        <f>1198915/10</f>
        <v>119891.5</v>
      </c>
      <c r="L32" s="17">
        <f t="shared" ref="L32:T32" si="20">1198915/10</f>
        <v>119891.5</v>
      </c>
      <c r="M32" s="17">
        <f t="shared" si="20"/>
        <v>119891.5</v>
      </c>
      <c r="N32" s="17">
        <f t="shared" si="20"/>
        <v>119891.5</v>
      </c>
      <c r="O32" s="17">
        <f t="shared" si="20"/>
        <v>119891.5</v>
      </c>
      <c r="P32" s="17">
        <f t="shared" si="20"/>
        <v>119891.5</v>
      </c>
      <c r="Q32" s="17">
        <f t="shared" si="20"/>
        <v>119891.5</v>
      </c>
      <c r="R32" s="17">
        <f t="shared" si="20"/>
        <v>119891.5</v>
      </c>
      <c r="S32" s="17">
        <f t="shared" si="20"/>
        <v>119891.5</v>
      </c>
      <c r="T32" s="17">
        <f t="shared" si="20"/>
        <v>119891.5</v>
      </c>
      <c r="U32" s="11">
        <f t="shared" si="10"/>
        <v>1500000</v>
      </c>
      <c r="V32" s="11">
        <f t="shared" si="11"/>
        <v>0</v>
      </c>
    </row>
    <row r="33" spans="1:22" ht="25.5" x14ac:dyDescent="0.25">
      <c r="A33" s="2" t="s">
        <v>58</v>
      </c>
      <c r="B33" s="3" t="s">
        <v>59</v>
      </c>
      <c r="C33" s="11">
        <v>0</v>
      </c>
      <c r="D33" s="12">
        <v>314964</v>
      </c>
      <c r="E33" s="13"/>
      <c r="F33" s="13"/>
      <c r="G33" s="14"/>
      <c r="H33" s="27">
        <f t="shared" si="8"/>
        <v>314964</v>
      </c>
      <c r="I33" s="45">
        <v>20230</v>
      </c>
      <c r="J33" s="48"/>
      <c r="K33" s="17">
        <f>294734/10</f>
        <v>29473.4</v>
      </c>
      <c r="L33" s="17">
        <f t="shared" ref="L33:T33" si="21">294734/10</f>
        <v>29473.4</v>
      </c>
      <c r="M33" s="17">
        <f t="shared" si="21"/>
        <v>29473.4</v>
      </c>
      <c r="N33" s="17">
        <f t="shared" si="21"/>
        <v>29473.4</v>
      </c>
      <c r="O33" s="17">
        <f t="shared" si="21"/>
        <v>29473.4</v>
      </c>
      <c r="P33" s="17">
        <f t="shared" si="21"/>
        <v>29473.4</v>
      </c>
      <c r="Q33" s="17">
        <f t="shared" si="21"/>
        <v>29473.4</v>
      </c>
      <c r="R33" s="17">
        <f t="shared" si="21"/>
        <v>29473.4</v>
      </c>
      <c r="S33" s="17">
        <f t="shared" si="21"/>
        <v>29473.4</v>
      </c>
      <c r="T33" s="17">
        <f t="shared" si="21"/>
        <v>29473.4</v>
      </c>
      <c r="U33" s="11">
        <f t="shared" si="10"/>
        <v>314964</v>
      </c>
      <c r="V33" s="11">
        <f t="shared" si="11"/>
        <v>0</v>
      </c>
    </row>
    <row r="34" spans="1:22" ht="25.5" x14ac:dyDescent="0.25">
      <c r="A34" s="2" t="s">
        <v>46</v>
      </c>
      <c r="B34" s="3" t="s">
        <v>47</v>
      </c>
      <c r="C34" s="11">
        <v>5500000</v>
      </c>
      <c r="D34" s="12"/>
      <c r="E34" s="13"/>
      <c r="F34" s="13"/>
      <c r="G34" s="14"/>
      <c r="H34" s="27">
        <f t="shared" si="8"/>
        <v>5500000</v>
      </c>
      <c r="I34" s="45"/>
      <c r="J34" s="48"/>
      <c r="K34" s="17">
        <f>5500000/9</f>
        <v>611111.11111111112</v>
      </c>
      <c r="L34" s="17">
        <f t="shared" ref="L34:S34" si="22">5500000/9</f>
        <v>611111.11111111112</v>
      </c>
      <c r="M34" s="17">
        <f t="shared" si="22"/>
        <v>611111.11111111112</v>
      </c>
      <c r="N34" s="17">
        <f t="shared" si="22"/>
        <v>611111.11111111112</v>
      </c>
      <c r="O34" s="17">
        <f t="shared" si="22"/>
        <v>611111.11111111112</v>
      </c>
      <c r="P34" s="17">
        <f t="shared" si="22"/>
        <v>611111.11111111112</v>
      </c>
      <c r="Q34" s="17">
        <f t="shared" si="22"/>
        <v>611111.11111111112</v>
      </c>
      <c r="R34" s="17">
        <f t="shared" si="22"/>
        <v>611111.11111111112</v>
      </c>
      <c r="S34" s="17">
        <f t="shared" si="22"/>
        <v>611111.11111111112</v>
      </c>
      <c r="T34" s="41"/>
      <c r="U34" s="11">
        <f t="shared" si="10"/>
        <v>5500000</v>
      </c>
      <c r="V34" s="11">
        <f t="shared" si="11"/>
        <v>0</v>
      </c>
    </row>
    <row r="35" spans="1:22" ht="25.5" x14ac:dyDescent="0.25">
      <c r="A35" s="2" t="s">
        <v>48</v>
      </c>
      <c r="B35" s="3" t="s">
        <v>49</v>
      </c>
      <c r="C35" s="11">
        <v>29000000</v>
      </c>
      <c r="D35" s="12"/>
      <c r="E35" s="13"/>
      <c r="F35" s="13"/>
      <c r="G35" s="14"/>
      <c r="H35" s="27">
        <f t="shared" si="8"/>
        <v>29000000</v>
      </c>
      <c r="I35" s="45"/>
      <c r="J35" s="48"/>
      <c r="K35" s="17">
        <f>29000000/9</f>
        <v>3222222.222222222</v>
      </c>
      <c r="L35" s="17">
        <f t="shared" ref="L35:S35" si="23">29000000/9</f>
        <v>3222222.222222222</v>
      </c>
      <c r="M35" s="17">
        <f t="shared" si="23"/>
        <v>3222222.222222222</v>
      </c>
      <c r="N35" s="17">
        <f t="shared" si="23"/>
        <v>3222222.222222222</v>
      </c>
      <c r="O35" s="17">
        <f t="shared" si="23"/>
        <v>3222222.222222222</v>
      </c>
      <c r="P35" s="17">
        <f t="shared" si="23"/>
        <v>3222222.222222222</v>
      </c>
      <c r="Q35" s="17">
        <f t="shared" si="23"/>
        <v>3222222.222222222</v>
      </c>
      <c r="R35" s="17">
        <f t="shared" si="23"/>
        <v>3222222.222222222</v>
      </c>
      <c r="S35" s="17">
        <f t="shared" si="23"/>
        <v>3222222.222222222</v>
      </c>
      <c r="T35" s="41"/>
      <c r="U35" s="11">
        <f t="shared" si="10"/>
        <v>29000000</v>
      </c>
      <c r="V35" s="11">
        <f t="shared" si="11"/>
        <v>0</v>
      </c>
    </row>
    <row r="36" spans="1:22" ht="25.5" x14ac:dyDescent="0.25">
      <c r="A36" s="2" t="s">
        <v>84</v>
      </c>
      <c r="B36" s="3" t="s">
        <v>85</v>
      </c>
      <c r="C36" s="11">
        <v>0</v>
      </c>
      <c r="D36" s="12">
        <v>4800000</v>
      </c>
      <c r="E36" s="13"/>
      <c r="F36" s="13"/>
      <c r="G36" s="14"/>
      <c r="H36" s="27">
        <f t="shared" si="8"/>
        <v>4800000</v>
      </c>
      <c r="I36" s="45"/>
      <c r="J36" s="48"/>
      <c r="K36" s="17">
        <f>4800000/9</f>
        <v>533333.33333333337</v>
      </c>
      <c r="L36" s="17">
        <f t="shared" ref="L36:S36" si="24">4800000/9</f>
        <v>533333.33333333337</v>
      </c>
      <c r="M36" s="17">
        <f t="shared" si="24"/>
        <v>533333.33333333337</v>
      </c>
      <c r="N36" s="17">
        <f t="shared" si="24"/>
        <v>533333.33333333337</v>
      </c>
      <c r="O36" s="17">
        <f t="shared" si="24"/>
        <v>533333.33333333337</v>
      </c>
      <c r="P36" s="17">
        <f t="shared" si="24"/>
        <v>533333.33333333337</v>
      </c>
      <c r="Q36" s="17">
        <f t="shared" si="24"/>
        <v>533333.33333333337</v>
      </c>
      <c r="R36" s="17">
        <f t="shared" si="24"/>
        <v>533333.33333333337</v>
      </c>
      <c r="S36" s="17">
        <f t="shared" si="24"/>
        <v>533333.33333333337</v>
      </c>
      <c r="T36" s="41"/>
      <c r="U36" s="11">
        <f t="shared" si="10"/>
        <v>4800000</v>
      </c>
      <c r="V36" s="11">
        <f t="shared" si="11"/>
        <v>0</v>
      </c>
    </row>
    <row r="37" spans="1:22" ht="25.5" x14ac:dyDescent="0.25">
      <c r="A37" s="2" t="s">
        <v>86</v>
      </c>
      <c r="B37" s="3" t="s">
        <v>87</v>
      </c>
      <c r="C37" s="11">
        <v>1900000</v>
      </c>
      <c r="D37" s="12"/>
      <c r="E37" s="13"/>
      <c r="F37" s="13"/>
      <c r="G37" s="14"/>
      <c r="H37" s="27">
        <f t="shared" si="8"/>
        <v>1900000</v>
      </c>
      <c r="I37" s="45"/>
      <c r="J37" s="48"/>
      <c r="K37" s="17">
        <f>1900000/9</f>
        <v>211111.11111111112</v>
      </c>
      <c r="L37" s="17">
        <f t="shared" ref="L37:S37" si="25">1900000/9</f>
        <v>211111.11111111112</v>
      </c>
      <c r="M37" s="17">
        <f t="shared" si="25"/>
        <v>211111.11111111112</v>
      </c>
      <c r="N37" s="17">
        <f t="shared" si="25"/>
        <v>211111.11111111112</v>
      </c>
      <c r="O37" s="17">
        <f t="shared" si="25"/>
        <v>211111.11111111112</v>
      </c>
      <c r="P37" s="17">
        <f t="shared" si="25"/>
        <v>211111.11111111112</v>
      </c>
      <c r="Q37" s="17">
        <f t="shared" si="25"/>
        <v>211111.11111111112</v>
      </c>
      <c r="R37" s="17">
        <f t="shared" si="25"/>
        <v>211111.11111111112</v>
      </c>
      <c r="S37" s="17">
        <f t="shared" si="25"/>
        <v>211111.11111111112</v>
      </c>
      <c r="T37" s="41"/>
      <c r="U37" s="11">
        <f t="shared" si="10"/>
        <v>1899999.9999999995</v>
      </c>
      <c r="V37" s="11">
        <f t="shared" si="11"/>
        <v>0</v>
      </c>
    </row>
    <row r="38" spans="1:22" ht="25.5" x14ac:dyDescent="0.25">
      <c r="A38" s="2" t="s">
        <v>66</v>
      </c>
      <c r="B38" s="3" t="s">
        <v>88</v>
      </c>
      <c r="C38" s="11">
        <v>16000000</v>
      </c>
      <c r="D38" s="12"/>
      <c r="E38" s="13"/>
      <c r="F38" s="13"/>
      <c r="G38" s="14"/>
      <c r="H38" s="27">
        <f t="shared" si="8"/>
        <v>16000000</v>
      </c>
      <c r="I38" s="45"/>
      <c r="J38" s="48"/>
      <c r="K38" s="17">
        <f>16000000/9</f>
        <v>1777777.7777777778</v>
      </c>
      <c r="L38" s="17">
        <f t="shared" ref="L38:S38" si="26">16000000/9</f>
        <v>1777777.7777777778</v>
      </c>
      <c r="M38" s="17">
        <f t="shared" si="26"/>
        <v>1777777.7777777778</v>
      </c>
      <c r="N38" s="17">
        <f t="shared" si="26"/>
        <v>1777777.7777777778</v>
      </c>
      <c r="O38" s="17">
        <f t="shared" si="26"/>
        <v>1777777.7777777778</v>
      </c>
      <c r="P38" s="17">
        <f t="shared" si="26"/>
        <v>1777777.7777777778</v>
      </c>
      <c r="Q38" s="17">
        <f t="shared" si="26"/>
        <v>1777777.7777777778</v>
      </c>
      <c r="R38" s="17">
        <f t="shared" si="26"/>
        <v>1777777.7777777778</v>
      </c>
      <c r="S38" s="17">
        <f t="shared" si="26"/>
        <v>1777777.7777777778</v>
      </c>
      <c r="T38" s="41"/>
      <c r="U38" s="11">
        <f t="shared" si="10"/>
        <v>16000000</v>
      </c>
      <c r="V38" s="11">
        <f t="shared" si="11"/>
        <v>0</v>
      </c>
    </row>
    <row r="39" spans="1:22" ht="25.5" x14ac:dyDescent="0.25">
      <c r="A39" s="2" t="s">
        <v>89</v>
      </c>
      <c r="B39" s="3" t="s">
        <v>90</v>
      </c>
      <c r="C39" s="11">
        <v>0</v>
      </c>
      <c r="D39" s="12">
        <v>6600000</v>
      </c>
      <c r="E39" s="13"/>
      <c r="F39" s="13"/>
      <c r="G39" s="14"/>
      <c r="H39" s="27">
        <f t="shared" si="8"/>
        <v>6600000</v>
      </c>
      <c r="I39" s="45"/>
      <c r="J39" s="48"/>
      <c r="K39" s="17">
        <f>6600000/9</f>
        <v>733333.33333333337</v>
      </c>
      <c r="L39" s="17">
        <f t="shared" ref="L39:S39" si="27">6600000/9</f>
        <v>733333.33333333337</v>
      </c>
      <c r="M39" s="17">
        <f t="shared" si="27"/>
        <v>733333.33333333337</v>
      </c>
      <c r="N39" s="17">
        <f t="shared" si="27"/>
        <v>733333.33333333337</v>
      </c>
      <c r="O39" s="17">
        <f t="shared" si="27"/>
        <v>733333.33333333337</v>
      </c>
      <c r="P39" s="17">
        <f t="shared" si="27"/>
        <v>733333.33333333337</v>
      </c>
      <c r="Q39" s="17">
        <f t="shared" si="27"/>
        <v>733333.33333333337</v>
      </c>
      <c r="R39" s="17">
        <f t="shared" si="27"/>
        <v>733333.33333333337</v>
      </c>
      <c r="S39" s="17">
        <f t="shared" si="27"/>
        <v>733333.33333333337</v>
      </c>
      <c r="T39" s="41"/>
      <c r="U39" s="11">
        <f t="shared" si="10"/>
        <v>6599999.9999999991</v>
      </c>
      <c r="V39" s="11">
        <f t="shared" si="11"/>
        <v>0</v>
      </c>
    </row>
    <row r="40" spans="1:22" ht="25.5" x14ac:dyDescent="0.25">
      <c r="A40" s="2" t="s">
        <v>50</v>
      </c>
      <c r="B40" s="3" t="s">
        <v>51</v>
      </c>
      <c r="C40" s="11">
        <v>2800000</v>
      </c>
      <c r="D40" s="12"/>
      <c r="E40" s="13"/>
      <c r="F40" s="13"/>
      <c r="G40" s="14"/>
      <c r="H40" s="27">
        <f t="shared" si="8"/>
        <v>2800000</v>
      </c>
      <c r="I40" s="45"/>
      <c r="J40" s="48"/>
      <c r="K40" s="17">
        <f>2800000/9</f>
        <v>311111.11111111112</v>
      </c>
      <c r="L40" s="17">
        <f t="shared" ref="L40:S40" si="28">2800000/9</f>
        <v>311111.11111111112</v>
      </c>
      <c r="M40" s="17">
        <f t="shared" si="28"/>
        <v>311111.11111111112</v>
      </c>
      <c r="N40" s="17">
        <f t="shared" si="28"/>
        <v>311111.11111111112</v>
      </c>
      <c r="O40" s="17">
        <f t="shared" si="28"/>
        <v>311111.11111111112</v>
      </c>
      <c r="P40" s="17">
        <f t="shared" si="28"/>
        <v>311111.11111111112</v>
      </c>
      <c r="Q40" s="17">
        <f t="shared" si="28"/>
        <v>311111.11111111112</v>
      </c>
      <c r="R40" s="17">
        <f t="shared" si="28"/>
        <v>311111.11111111112</v>
      </c>
      <c r="S40" s="17">
        <f t="shared" si="28"/>
        <v>311111.11111111112</v>
      </c>
      <c r="T40" s="41"/>
      <c r="U40" s="11">
        <f t="shared" si="10"/>
        <v>2799999.9999999995</v>
      </c>
      <c r="V40" s="11">
        <f t="shared" si="11"/>
        <v>0</v>
      </c>
    </row>
    <row r="41" spans="1:22" ht="25.5" x14ac:dyDescent="0.25">
      <c r="A41" s="2" t="s">
        <v>91</v>
      </c>
      <c r="B41" s="3" t="s">
        <v>92</v>
      </c>
      <c r="C41" s="11">
        <v>3700000</v>
      </c>
      <c r="D41" s="12"/>
      <c r="E41" s="13"/>
      <c r="F41" s="13"/>
      <c r="G41" s="14"/>
      <c r="H41" s="27">
        <f t="shared" si="8"/>
        <v>3700000</v>
      </c>
      <c r="I41" s="45"/>
      <c r="J41" s="48"/>
      <c r="K41" s="17">
        <f>3700000/10</f>
        <v>370000</v>
      </c>
      <c r="L41" s="17">
        <f t="shared" ref="L41:T41" si="29">3700000/10</f>
        <v>370000</v>
      </c>
      <c r="M41" s="17">
        <f t="shared" si="29"/>
        <v>370000</v>
      </c>
      <c r="N41" s="17">
        <f t="shared" si="29"/>
        <v>370000</v>
      </c>
      <c r="O41" s="17">
        <f t="shared" si="29"/>
        <v>370000</v>
      </c>
      <c r="P41" s="17">
        <f t="shared" si="29"/>
        <v>370000</v>
      </c>
      <c r="Q41" s="17">
        <f t="shared" si="29"/>
        <v>370000</v>
      </c>
      <c r="R41" s="17">
        <f t="shared" si="29"/>
        <v>370000</v>
      </c>
      <c r="S41" s="17">
        <f t="shared" si="29"/>
        <v>370000</v>
      </c>
      <c r="T41" s="17">
        <f t="shared" si="29"/>
        <v>370000</v>
      </c>
      <c r="U41" s="11">
        <f t="shared" si="10"/>
        <v>3700000</v>
      </c>
      <c r="V41" s="11">
        <f t="shared" si="11"/>
        <v>0</v>
      </c>
    </row>
    <row r="42" spans="1:22" ht="25.5" x14ac:dyDescent="0.25">
      <c r="A42" s="2" t="s">
        <v>52</v>
      </c>
      <c r="B42" s="3" t="s">
        <v>53</v>
      </c>
      <c r="C42" s="11">
        <v>3700000</v>
      </c>
      <c r="D42" s="12"/>
      <c r="E42" s="13"/>
      <c r="F42" s="13"/>
      <c r="G42" s="14"/>
      <c r="H42" s="27">
        <f t="shared" si="8"/>
        <v>3700000</v>
      </c>
      <c r="I42" s="45"/>
      <c r="J42" s="48">
        <v>531199</v>
      </c>
      <c r="K42" s="17">
        <f>3168801/10</f>
        <v>316880.09999999998</v>
      </c>
      <c r="L42" s="17">
        <f t="shared" ref="L42:T42" si="30">3168801/10</f>
        <v>316880.09999999998</v>
      </c>
      <c r="M42" s="17">
        <f t="shared" si="30"/>
        <v>316880.09999999998</v>
      </c>
      <c r="N42" s="17">
        <f t="shared" si="30"/>
        <v>316880.09999999998</v>
      </c>
      <c r="O42" s="17">
        <f t="shared" si="30"/>
        <v>316880.09999999998</v>
      </c>
      <c r="P42" s="17">
        <f t="shared" si="30"/>
        <v>316880.09999999998</v>
      </c>
      <c r="Q42" s="17">
        <f t="shared" si="30"/>
        <v>316880.09999999998</v>
      </c>
      <c r="R42" s="17">
        <f t="shared" si="30"/>
        <v>316880.09999999998</v>
      </c>
      <c r="S42" s="17">
        <f t="shared" si="30"/>
        <v>316880.09999999998</v>
      </c>
      <c r="T42" s="17">
        <f t="shared" si="30"/>
        <v>316880.09999999998</v>
      </c>
      <c r="U42" s="11">
        <f t="shared" si="10"/>
        <v>3700000.0000000005</v>
      </c>
      <c r="V42" s="11">
        <f t="shared" si="11"/>
        <v>0</v>
      </c>
    </row>
    <row r="43" spans="1:22" ht="25.5" x14ac:dyDescent="0.25">
      <c r="A43" s="2" t="s">
        <v>64</v>
      </c>
      <c r="B43" s="3" t="s">
        <v>65</v>
      </c>
      <c r="C43" s="11">
        <v>0</v>
      </c>
      <c r="D43" s="12">
        <v>300000</v>
      </c>
      <c r="E43" s="13"/>
      <c r="F43" s="13"/>
      <c r="G43" s="14"/>
      <c r="H43" s="27">
        <f t="shared" si="8"/>
        <v>300000</v>
      </c>
      <c r="I43" s="45"/>
      <c r="J43" s="48"/>
      <c r="K43" s="17">
        <f>300000/10</f>
        <v>30000</v>
      </c>
      <c r="L43" s="17">
        <f t="shared" ref="L43:T43" si="31">300000/10</f>
        <v>30000</v>
      </c>
      <c r="M43" s="17">
        <f t="shared" si="31"/>
        <v>30000</v>
      </c>
      <c r="N43" s="17">
        <f t="shared" si="31"/>
        <v>30000</v>
      </c>
      <c r="O43" s="17">
        <f t="shared" si="31"/>
        <v>30000</v>
      </c>
      <c r="P43" s="17">
        <f t="shared" si="31"/>
        <v>30000</v>
      </c>
      <c r="Q43" s="17">
        <f t="shared" si="31"/>
        <v>30000</v>
      </c>
      <c r="R43" s="17">
        <f t="shared" si="31"/>
        <v>30000</v>
      </c>
      <c r="S43" s="17">
        <f t="shared" si="31"/>
        <v>30000</v>
      </c>
      <c r="T43" s="17">
        <f t="shared" si="31"/>
        <v>30000</v>
      </c>
      <c r="U43" s="11">
        <f t="shared" si="10"/>
        <v>300000</v>
      </c>
      <c r="V43" s="11">
        <f t="shared" si="11"/>
        <v>0</v>
      </c>
    </row>
    <row r="44" spans="1:22" ht="25.5" x14ac:dyDescent="0.25">
      <c r="A44" s="2" t="s">
        <v>54</v>
      </c>
      <c r="B44" s="3" t="s">
        <v>55</v>
      </c>
      <c r="C44" s="11">
        <v>0</v>
      </c>
      <c r="D44" s="12">
        <v>959359</v>
      </c>
      <c r="E44" s="13"/>
      <c r="F44" s="13"/>
      <c r="G44" s="14"/>
      <c r="H44" s="27">
        <f t="shared" si="8"/>
        <v>959359</v>
      </c>
      <c r="I44" s="45">
        <v>406459</v>
      </c>
      <c r="J44" s="48"/>
      <c r="K44" s="17">
        <f>552900/10</f>
        <v>55290</v>
      </c>
      <c r="L44" s="17">
        <f t="shared" ref="L44:T44" si="32">552900/10</f>
        <v>55290</v>
      </c>
      <c r="M44" s="17">
        <f t="shared" si="32"/>
        <v>55290</v>
      </c>
      <c r="N44" s="17">
        <f t="shared" si="32"/>
        <v>55290</v>
      </c>
      <c r="O44" s="17">
        <f t="shared" si="32"/>
        <v>55290</v>
      </c>
      <c r="P44" s="17">
        <f t="shared" si="32"/>
        <v>55290</v>
      </c>
      <c r="Q44" s="17">
        <f t="shared" si="32"/>
        <v>55290</v>
      </c>
      <c r="R44" s="17">
        <f t="shared" si="32"/>
        <v>55290</v>
      </c>
      <c r="S44" s="17">
        <f t="shared" si="32"/>
        <v>55290</v>
      </c>
      <c r="T44" s="17">
        <f t="shared" si="32"/>
        <v>55290</v>
      </c>
      <c r="U44" s="11">
        <f t="shared" si="10"/>
        <v>959359</v>
      </c>
      <c r="V44" s="11">
        <f t="shared" si="11"/>
        <v>0</v>
      </c>
    </row>
    <row r="45" spans="1:22" ht="25.5" x14ac:dyDescent="0.25">
      <c r="A45" s="2" t="s">
        <v>56</v>
      </c>
      <c r="B45" s="3" t="s">
        <v>57</v>
      </c>
      <c r="C45" s="11">
        <v>1000</v>
      </c>
      <c r="D45" s="12"/>
      <c r="E45" s="13"/>
      <c r="F45" s="13"/>
      <c r="G45" s="14"/>
      <c r="H45" s="27">
        <f t="shared" si="8"/>
        <v>1000</v>
      </c>
      <c r="I45" s="45"/>
      <c r="J45" s="48"/>
      <c r="K45" s="17">
        <f>1000/10</f>
        <v>100</v>
      </c>
      <c r="L45" s="17">
        <f t="shared" ref="L45:T45" si="33">1000/10</f>
        <v>100</v>
      </c>
      <c r="M45" s="17">
        <f t="shared" si="33"/>
        <v>100</v>
      </c>
      <c r="N45" s="17">
        <f t="shared" si="33"/>
        <v>100</v>
      </c>
      <c r="O45" s="17">
        <f t="shared" si="33"/>
        <v>100</v>
      </c>
      <c r="P45" s="17">
        <f t="shared" si="33"/>
        <v>100</v>
      </c>
      <c r="Q45" s="17">
        <f t="shared" si="33"/>
        <v>100</v>
      </c>
      <c r="R45" s="17">
        <f t="shared" si="33"/>
        <v>100</v>
      </c>
      <c r="S45" s="17">
        <f t="shared" si="33"/>
        <v>100</v>
      </c>
      <c r="T45" s="17">
        <f t="shared" si="33"/>
        <v>100</v>
      </c>
      <c r="U45" s="11">
        <f t="shared" si="10"/>
        <v>1000</v>
      </c>
      <c r="V45" s="11">
        <f t="shared" si="11"/>
        <v>0</v>
      </c>
    </row>
    <row r="46" spans="1:22" ht="13.5" thickBot="1" x14ac:dyDescent="0.3">
      <c r="A46" s="6"/>
      <c r="B46" s="7"/>
      <c r="C46" s="19"/>
      <c r="D46" s="20"/>
      <c r="E46" s="21"/>
      <c r="F46" s="21"/>
      <c r="G46" s="22"/>
      <c r="H46" s="38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42"/>
      <c r="U46" s="43"/>
      <c r="V46" s="19"/>
    </row>
    <row r="47" spans="1:22" ht="13.5" thickBot="1" x14ac:dyDescent="0.3">
      <c r="A47" s="66" t="s">
        <v>26</v>
      </c>
      <c r="B47" s="67"/>
      <c r="C47" s="23">
        <f t="shared" ref="C47:V47" si="34">SUM(C22:C46)</f>
        <v>129053000</v>
      </c>
      <c r="D47" s="24">
        <f t="shared" si="34"/>
        <v>20784594</v>
      </c>
      <c r="E47" s="25">
        <f t="shared" si="34"/>
        <v>0</v>
      </c>
      <c r="F47" s="25">
        <f t="shared" si="34"/>
        <v>0</v>
      </c>
      <c r="G47" s="26">
        <f t="shared" si="34"/>
        <v>0</v>
      </c>
      <c r="H47" s="23">
        <f t="shared" si="34"/>
        <v>149837594</v>
      </c>
      <c r="I47" s="35">
        <f t="shared" si="34"/>
        <v>726807</v>
      </c>
      <c r="J47" s="36">
        <f t="shared" si="34"/>
        <v>532166</v>
      </c>
      <c r="K47" s="36">
        <f t="shared" si="34"/>
        <v>12850776.222222224</v>
      </c>
      <c r="L47" s="36">
        <f t="shared" si="34"/>
        <v>12850776.222222224</v>
      </c>
      <c r="M47" s="36">
        <f t="shared" si="34"/>
        <v>12850776.222222224</v>
      </c>
      <c r="N47" s="36">
        <f t="shared" si="34"/>
        <v>12850776.222222224</v>
      </c>
      <c r="O47" s="36">
        <f t="shared" si="34"/>
        <v>19250776.222222224</v>
      </c>
      <c r="P47" s="36">
        <f t="shared" si="34"/>
        <v>19250776.222222224</v>
      </c>
      <c r="Q47" s="36">
        <f t="shared" si="34"/>
        <v>19250776.222222224</v>
      </c>
      <c r="R47" s="36">
        <f t="shared" si="34"/>
        <v>19250776.222222224</v>
      </c>
      <c r="S47" s="36">
        <f t="shared" si="34"/>
        <v>19250776.222222224</v>
      </c>
      <c r="T47" s="37">
        <f t="shared" si="34"/>
        <v>921635</v>
      </c>
      <c r="U47" s="23">
        <f t="shared" si="34"/>
        <v>149837594</v>
      </c>
      <c r="V47" s="23">
        <f t="shared" si="34"/>
        <v>0</v>
      </c>
    </row>
    <row r="51" spans="1:2" ht="24" x14ac:dyDescent="0.25">
      <c r="B51" s="103" t="s">
        <v>120</v>
      </c>
    </row>
    <row r="52" spans="1:2" x14ac:dyDescent="0.25">
      <c r="B52" s="101"/>
    </row>
    <row r="54" spans="1:2" ht="12.75" customHeight="1" x14ac:dyDescent="0.25">
      <c r="A54" s="104" t="s">
        <v>122</v>
      </c>
      <c r="B54" s="104" t="s">
        <v>119</v>
      </c>
    </row>
    <row r="55" spans="1:2" ht="14.25" x14ac:dyDescent="0.25">
      <c r="A55" s="104" t="s">
        <v>121</v>
      </c>
      <c r="B55" s="105"/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7:B47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1" orientation="landscape" r:id="rId1"/>
  <headerFooter>
    <oddFooter>&amp;L&amp;F&amp;C&amp;A&amp;R&amp;P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46" zoomScale="97" zoomScaleNormal="97" workbookViewId="0">
      <selection activeCell="A54" sqref="A54:B57"/>
    </sheetView>
  </sheetViews>
  <sheetFormatPr baseColWidth="10" defaultColWidth="11.42578125" defaultRowHeight="12.75" x14ac:dyDescent="0.25"/>
  <cols>
    <col min="1" max="1" width="18" style="1" customWidth="1"/>
    <col min="2" max="2" width="28.85546875" style="1" customWidth="1"/>
    <col min="3" max="3" width="15.5703125" style="1" customWidth="1"/>
    <col min="4" max="4" width="11.28515625" style="1" customWidth="1"/>
    <col min="5" max="5" width="6.140625" style="1" customWidth="1"/>
    <col min="6" max="6" width="5.85546875" style="1" customWidth="1"/>
    <col min="7" max="7" width="9.85546875" style="1" customWidth="1"/>
    <col min="8" max="8" width="15.140625" style="1" customWidth="1"/>
    <col min="9" max="9" width="10.85546875" style="1" customWidth="1"/>
    <col min="10" max="10" width="8.7109375" style="1" customWidth="1"/>
    <col min="11" max="11" width="11.7109375" style="1" customWidth="1"/>
    <col min="12" max="19" width="10.7109375" style="1" customWidth="1"/>
    <col min="20" max="20" width="8.7109375" style="1" customWidth="1"/>
    <col min="21" max="22" width="11.710937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29">
        <f>1564000/9</f>
        <v>173777.77777777778</v>
      </c>
      <c r="M8" s="29">
        <f t="shared" ref="M8:T8" si="0">1564000/9</f>
        <v>173777.77777777778</v>
      </c>
      <c r="N8" s="29">
        <f t="shared" si="0"/>
        <v>173777.77777777778</v>
      </c>
      <c r="O8" s="29">
        <f t="shared" si="0"/>
        <v>173777.77777777778</v>
      </c>
      <c r="P8" s="29">
        <f t="shared" si="0"/>
        <v>173777.77777777778</v>
      </c>
      <c r="Q8" s="29">
        <f t="shared" si="0"/>
        <v>173777.77777777778</v>
      </c>
      <c r="R8" s="29">
        <f t="shared" si="0"/>
        <v>173777.77777777778</v>
      </c>
      <c r="S8" s="29">
        <f t="shared" si="0"/>
        <v>173777.77777777778</v>
      </c>
      <c r="T8" s="29">
        <f t="shared" si="0"/>
        <v>173777.77777777778</v>
      </c>
      <c r="U8" s="11">
        <f>SUM(I8:T8)</f>
        <v>2500000.0000000005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17">
        <f>2849000/8</f>
        <v>356125</v>
      </c>
      <c r="M9" s="17">
        <f t="shared" ref="M9:S9" si="2">2849000/8</f>
        <v>356125</v>
      </c>
      <c r="N9" s="17">
        <f t="shared" si="2"/>
        <v>356125</v>
      </c>
      <c r="O9" s="17">
        <f t="shared" si="2"/>
        <v>356125</v>
      </c>
      <c r="P9" s="17">
        <f t="shared" si="2"/>
        <v>356125</v>
      </c>
      <c r="Q9" s="17">
        <f t="shared" si="2"/>
        <v>356125</v>
      </c>
      <c r="R9" s="17">
        <f t="shared" si="2"/>
        <v>356125</v>
      </c>
      <c r="S9" s="17">
        <f t="shared" si="2"/>
        <v>356125</v>
      </c>
      <c r="T9" s="17"/>
      <c r="U9" s="15">
        <f t="shared" ref="U9:U19" si="3">SUM(I9:T9)</f>
        <v>5500000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/>
      <c r="E10" s="84"/>
      <c r="F10" s="84"/>
      <c r="G10" s="85"/>
      <c r="H10" s="31">
        <f t="shared" si="1"/>
        <v>89000000</v>
      </c>
      <c r="I10" s="45"/>
      <c r="J10" s="48"/>
      <c r="K10" s="48">
        <v>146216334</v>
      </c>
      <c r="L10" s="17"/>
      <c r="M10" s="17"/>
      <c r="N10" s="17"/>
      <c r="O10" s="17"/>
      <c r="P10" s="17"/>
      <c r="Q10" s="17"/>
      <c r="R10" s="17"/>
      <c r="S10" s="17"/>
      <c r="T10" s="18"/>
      <c r="U10" s="15">
        <f t="shared" si="3"/>
        <v>146216334</v>
      </c>
      <c r="V10" s="15">
        <f t="shared" si="4"/>
        <v>-57216334</v>
      </c>
    </row>
    <row r="11" spans="1:22" x14ac:dyDescent="0.25">
      <c r="A11" s="4"/>
      <c r="B11" s="5"/>
      <c r="C11" s="15"/>
      <c r="D11" s="83"/>
      <c r="E11" s="84"/>
      <c r="F11" s="84"/>
      <c r="G11" s="85"/>
      <c r="H11" s="31">
        <f t="shared" ref="H11" si="5">C11+D11-F11</f>
        <v>0</v>
      </c>
      <c r="I11" s="45"/>
      <c r="J11" s="48"/>
      <c r="K11" s="48"/>
      <c r="L11" s="17"/>
      <c r="M11" s="17"/>
      <c r="N11" s="17"/>
      <c r="O11" s="17"/>
      <c r="P11" s="17"/>
      <c r="Q11" s="17"/>
      <c r="R11" s="17"/>
      <c r="S11" s="17"/>
      <c r="T11" s="18"/>
      <c r="U11" s="15">
        <f t="shared" ref="U11" si="6">SUM(I11:T11)</f>
        <v>0</v>
      </c>
      <c r="V11" s="15">
        <f t="shared" ref="V11" si="7">H11-U11</f>
        <v>0</v>
      </c>
    </row>
    <row r="12" spans="1:22" x14ac:dyDescent="0.25">
      <c r="A12" s="4"/>
      <c r="B12" s="5"/>
      <c r="C12" s="15"/>
      <c r="D12" s="83"/>
      <c r="E12" s="84"/>
      <c r="F12" s="84"/>
      <c r="G12" s="85"/>
      <c r="H12" s="31">
        <f t="shared" si="1"/>
        <v>0</v>
      </c>
      <c r="I12" s="45"/>
      <c r="J12" s="48"/>
      <c r="K12" s="48"/>
      <c r="L12" s="17"/>
      <c r="M12" s="17"/>
      <c r="N12" s="17"/>
      <c r="O12" s="17"/>
      <c r="P12" s="17"/>
      <c r="Q12" s="17"/>
      <c r="R12" s="17"/>
      <c r="S12" s="17"/>
      <c r="T12" s="18"/>
      <c r="U12" s="15">
        <f t="shared" si="3"/>
        <v>0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17"/>
      <c r="M13" s="17"/>
      <c r="N13" s="17"/>
      <c r="O13" s="17">
        <v>32000000</v>
      </c>
      <c r="P13" s="17"/>
      <c r="Q13" s="17"/>
      <c r="R13" s="17"/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ref="H14" si="8">C14+D14-F14</f>
        <v>50000</v>
      </c>
      <c r="I14" s="45">
        <v>197.4</v>
      </c>
      <c r="J14" s="48">
        <v>81.209999999999994</v>
      </c>
      <c r="K14" s="48">
        <v>124.21</v>
      </c>
      <c r="L14" s="17">
        <f>49597.18/9</f>
        <v>5510.7977777777778</v>
      </c>
      <c r="M14" s="17">
        <f t="shared" ref="M14:T14" si="9">49597.18/9</f>
        <v>5510.7977777777778</v>
      </c>
      <c r="N14" s="17">
        <f t="shared" si="9"/>
        <v>5510.7977777777778</v>
      </c>
      <c r="O14" s="17">
        <f t="shared" si="9"/>
        <v>5510.7977777777778</v>
      </c>
      <c r="P14" s="17">
        <f t="shared" si="9"/>
        <v>5510.7977777777778</v>
      </c>
      <c r="Q14" s="17">
        <f t="shared" si="9"/>
        <v>5510.7977777777778</v>
      </c>
      <c r="R14" s="17">
        <f t="shared" si="9"/>
        <v>5510.7977777777778</v>
      </c>
      <c r="S14" s="17">
        <f t="shared" si="9"/>
        <v>5510.7977777777778</v>
      </c>
      <c r="T14" s="17">
        <f t="shared" si="9"/>
        <v>5510.7977777777778</v>
      </c>
      <c r="U14" s="15">
        <f t="shared" ref="U14" si="10">SUM(I14:T14)</f>
        <v>50000</v>
      </c>
      <c r="V14" s="15">
        <f t="shared" ref="V14" si="11">H14-U14</f>
        <v>0</v>
      </c>
    </row>
    <row r="15" spans="1:22" ht="25.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>
        <v>0</v>
      </c>
      <c r="J15" s="48">
        <v>0</v>
      </c>
      <c r="K15" s="48">
        <v>4000000</v>
      </c>
      <c r="L15" s="17"/>
      <c r="M15" s="17"/>
      <c r="N15" s="17"/>
      <c r="O15" s="17"/>
      <c r="P15" s="17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21">
        <v>1000</v>
      </c>
      <c r="M16" s="21"/>
      <c r="N16" s="21"/>
      <c r="O16" s="21"/>
      <c r="P16" s="21"/>
      <c r="Q16" s="21"/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21">
        <v>1000</v>
      </c>
      <c r="M17" s="21"/>
      <c r="N17" s="21"/>
      <c r="O17" s="21"/>
      <c r="P17" s="21"/>
      <c r="Q17" s="21"/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21">
        <v>1000</v>
      </c>
      <c r="M18" s="21"/>
      <c r="N18" s="21"/>
      <c r="O18" s="21"/>
      <c r="P18" s="21"/>
      <c r="Q18" s="21"/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20784594</v>
      </c>
      <c r="E20" s="80"/>
      <c r="F20" s="79">
        <f>SUM(F8:G19)</f>
        <v>0</v>
      </c>
      <c r="G20" s="80"/>
      <c r="H20" s="23">
        <f t="shared" ref="H20:V20" si="12">SUM(H8:H19)</f>
        <v>149837594</v>
      </c>
      <c r="I20" s="35">
        <f t="shared" si="12"/>
        <v>23164791.399999999</v>
      </c>
      <c r="J20" s="36">
        <f t="shared" si="12"/>
        <v>442081.21</v>
      </c>
      <c r="K20" s="36">
        <f t="shared" si="12"/>
        <v>150981458.21000001</v>
      </c>
      <c r="L20" s="36">
        <f t="shared" si="12"/>
        <v>538413.57555555552</v>
      </c>
      <c r="M20" s="36">
        <f t="shared" si="12"/>
        <v>535413.57555555552</v>
      </c>
      <c r="N20" s="36">
        <f t="shared" si="12"/>
        <v>535413.57555555552</v>
      </c>
      <c r="O20" s="36">
        <f t="shared" si="12"/>
        <v>32535413.575555556</v>
      </c>
      <c r="P20" s="36">
        <f t="shared" si="12"/>
        <v>535413.57555555552</v>
      </c>
      <c r="Q20" s="36">
        <f t="shared" si="12"/>
        <v>535413.57555555552</v>
      </c>
      <c r="R20" s="36">
        <f t="shared" si="12"/>
        <v>535413.57555555552</v>
      </c>
      <c r="S20" s="36">
        <f t="shared" si="12"/>
        <v>535413.57555555552</v>
      </c>
      <c r="T20" s="37">
        <f t="shared" si="12"/>
        <v>179288.57555555555</v>
      </c>
      <c r="U20" s="23">
        <f t="shared" si="12"/>
        <v>211053928</v>
      </c>
      <c r="V20" s="23">
        <f t="shared" si="12"/>
        <v>-61216334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70" t="s">
        <v>20</v>
      </c>
      <c r="U23" s="64" t="s">
        <v>21</v>
      </c>
      <c r="V23" s="64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1"/>
      <c r="U24" s="65"/>
      <c r="V24" s="65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44"/>
      <c r="J25" s="47"/>
      <c r="K25" s="47"/>
      <c r="L25" s="29"/>
      <c r="M25" s="29"/>
      <c r="N25" s="29"/>
      <c r="O25" s="29">
        <f>4800000/5</f>
        <v>960000</v>
      </c>
      <c r="P25" s="29">
        <f t="shared" ref="P25:S25" si="13">4800000/5</f>
        <v>960000</v>
      </c>
      <c r="Q25" s="29">
        <f t="shared" si="13"/>
        <v>960000</v>
      </c>
      <c r="R25" s="29">
        <f t="shared" si="13"/>
        <v>960000</v>
      </c>
      <c r="S25" s="29">
        <f t="shared" si="13"/>
        <v>960000</v>
      </c>
      <c r="T25" s="39"/>
      <c r="U25" s="40">
        <f>SUM(I25:T25)</f>
        <v>4800000</v>
      </c>
      <c r="V25" s="11">
        <f>H25-U25</f>
        <v>0</v>
      </c>
    </row>
    <row r="26" spans="1:22" ht="25.5" x14ac:dyDescent="0.25">
      <c r="A26" s="2" t="s">
        <v>36</v>
      </c>
      <c r="B26" s="3" t="s">
        <v>37</v>
      </c>
      <c r="C26" s="11">
        <v>8600000</v>
      </c>
      <c r="D26" s="12"/>
      <c r="E26" s="13"/>
      <c r="F26" s="13"/>
      <c r="G26" s="14"/>
      <c r="H26" s="27">
        <f t="shared" ref="H26:H48" si="14">C26+D26-E26+F26-G26</f>
        <v>8600000</v>
      </c>
      <c r="I26" s="45"/>
      <c r="J26" s="48"/>
      <c r="K26" s="48"/>
      <c r="L26" s="17"/>
      <c r="M26" s="17"/>
      <c r="N26" s="17"/>
      <c r="O26" s="17">
        <f>8600000/5</f>
        <v>1720000</v>
      </c>
      <c r="P26" s="17">
        <f t="shared" ref="P26:S26" si="15">8600000/5</f>
        <v>1720000</v>
      </c>
      <c r="Q26" s="17">
        <f t="shared" si="15"/>
        <v>1720000</v>
      </c>
      <c r="R26" s="17">
        <f t="shared" si="15"/>
        <v>1720000</v>
      </c>
      <c r="S26" s="17">
        <f t="shared" si="15"/>
        <v>1720000</v>
      </c>
      <c r="T26" s="41"/>
      <c r="U26" s="11">
        <f t="shared" ref="U26:U48" si="16">SUM(I26:T26)</f>
        <v>8600000</v>
      </c>
      <c r="V26" s="11">
        <f t="shared" ref="V26:V48" si="17">H26-U26</f>
        <v>0</v>
      </c>
    </row>
    <row r="27" spans="1:22" ht="25.5" x14ac:dyDescent="0.25">
      <c r="A27" s="2" t="s">
        <v>38</v>
      </c>
      <c r="B27" s="3" t="s">
        <v>39</v>
      </c>
      <c r="C27" s="11">
        <v>12500000</v>
      </c>
      <c r="D27" s="12"/>
      <c r="E27" s="13"/>
      <c r="F27" s="13"/>
      <c r="G27" s="14"/>
      <c r="H27" s="27">
        <f t="shared" si="14"/>
        <v>12500000</v>
      </c>
      <c r="I27" s="45"/>
      <c r="J27" s="48"/>
      <c r="K27" s="48"/>
      <c r="L27" s="17">
        <f>12500000/8</f>
        <v>1562500</v>
      </c>
      <c r="M27" s="17">
        <f t="shared" ref="M27:S27" si="18">12500000/8</f>
        <v>1562500</v>
      </c>
      <c r="N27" s="17">
        <f t="shared" si="18"/>
        <v>1562500</v>
      </c>
      <c r="O27" s="17">
        <f t="shared" si="18"/>
        <v>1562500</v>
      </c>
      <c r="P27" s="17">
        <f t="shared" si="18"/>
        <v>1562500</v>
      </c>
      <c r="Q27" s="17">
        <f t="shared" si="18"/>
        <v>1562500</v>
      </c>
      <c r="R27" s="17">
        <f t="shared" si="18"/>
        <v>1562500</v>
      </c>
      <c r="S27" s="17">
        <f t="shared" si="18"/>
        <v>1562500</v>
      </c>
      <c r="T27" s="41"/>
      <c r="U27" s="11">
        <f t="shared" si="16"/>
        <v>12500000</v>
      </c>
      <c r="V27" s="11">
        <f t="shared" si="17"/>
        <v>0</v>
      </c>
    </row>
    <row r="28" spans="1:22" ht="25.5" x14ac:dyDescent="0.25">
      <c r="A28" s="2" t="s">
        <v>67</v>
      </c>
      <c r="B28" s="3" t="s">
        <v>68</v>
      </c>
      <c r="C28" s="11">
        <v>12000000</v>
      </c>
      <c r="D28" s="12"/>
      <c r="E28" s="13"/>
      <c r="F28" s="13"/>
      <c r="G28" s="14"/>
      <c r="H28" s="27">
        <f t="shared" si="14"/>
        <v>12000000</v>
      </c>
      <c r="I28" s="45"/>
      <c r="J28" s="48"/>
      <c r="K28" s="48"/>
      <c r="L28" s="17"/>
      <c r="M28" s="17"/>
      <c r="N28" s="17"/>
      <c r="O28" s="17">
        <f>12000000/5</f>
        <v>2400000</v>
      </c>
      <c r="P28" s="17">
        <f t="shared" ref="P28:S28" si="19">12000000/5</f>
        <v>2400000</v>
      </c>
      <c r="Q28" s="17">
        <f t="shared" si="19"/>
        <v>2400000</v>
      </c>
      <c r="R28" s="17">
        <f t="shared" si="19"/>
        <v>2400000</v>
      </c>
      <c r="S28" s="17">
        <f t="shared" si="19"/>
        <v>2400000</v>
      </c>
      <c r="T28" s="41"/>
      <c r="U28" s="11">
        <f t="shared" si="16"/>
        <v>12000000</v>
      </c>
      <c r="V28" s="11">
        <f t="shared" si="17"/>
        <v>0</v>
      </c>
    </row>
    <row r="29" spans="1:22" ht="25.5" x14ac:dyDescent="0.25">
      <c r="A29" s="2" t="s">
        <v>78</v>
      </c>
      <c r="B29" s="3" t="s">
        <v>79</v>
      </c>
      <c r="C29" s="11">
        <v>1000</v>
      </c>
      <c r="D29" s="12"/>
      <c r="E29" s="13"/>
      <c r="F29" s="13"/>
      <c r="G29" s="14"/>
      <c r="H29" s="27">
        <f t="shared" si="14"/>
        <v>1000</v>
      </c>
      <c r="I29" s="45"/>
      <c r="J29" s="48"/>
      <c r="K29" s="48"/>
      <c r="L29" s="17">
        <f>1000/8</f>
        <v>125</v>
      </c>
      <c r="M29" s="17">
        <f t="shared" ref="M29:S29" si="20">1000/8</f>
        <v>125</v>
      </c>
      <c r="N29" s="17">
        <f t="shared" si="20"/>
        <v>125</v>
      </c>
      <c r="O29" s="17">
        <f t="shared" si="20"/>
        <v>125</v>
      </c>
      <c r="P29" s="17">
        <f t="shared" si="20"/>
        <v>125</v>
      </c>
      <c r="Q29" s="17">
        <f t="shared" si="20"/>
        <v>125</v>
      </c>
      <c r="R29" s="17">
        <f t="shared" si="20"/>
        <v>125</v>
      </c>
      <c r="S29" s="17">
        <f t="shared" si="20"/>
        <v>125</v>
      </c>
      <c r="T29" s="41"/>
      <c r="U29" s="11">
        <f t="shared" si="16"/>
        <v>1000</v>
      </c>
      <c r="V29" s="11">
        <f t="shared" si="17"/>
        <v>0</v>
      </c>
    </row>
    <row r="30" spans="1:22" ht="25.5" x14ac:dyDescent="0.25">
      <c r="A30" s="2" t="s">
        <v>80</v>
      </c>
      <c r="B30" s="3" t="s">
        <v>81</v>
      </c>
      <c r="C30" s="11">
        <v>50000</v>
      </c>
      <c r="D30" s="12"/>
      <c r="E30" s="13"/>
      <c r="F30" s="13"/>
      <c r="G30" s="14"/>
      <c r="H30" s="27">
        <f t="shared" si="14"/>
        <v>50000</v>
      </c>
      <c r="I30" s="45"/>
      <c r="J30" s="48"/>
      <c r="K30" s="48"/>
      <c r="L30" s="17">
        <f>50000/8</f>
        <v>6250</v>
      </c>
      <c r="M30" s="17">
        <f t="shared" ref="M30:S30" si="21">50000/8</f>
        <v>6250</v>
      </c>
      <c r="N30" s="17">
        <f t="shared" si="21"/>
        <v>6250</v>
      </c>
      <c r="O30" s="17">
        <f t="shared" si="21"/>
        <v>6250</v>
      </c>
      <c r="P30" s="17">
        <f t="shared" si="21"/>
        <v>6250</v>
      </c>
      <c r="Q30" s="17">
        <f t="shared" si="21"/>
        <v>6250</v>
      </c>
      <c r="R30" s="17">
        <f t="shared" si="21"/>
        <v>6250</v>
      </c>
      <c r="S30" s="17">
        <f t="shared" si="21"/>
        <v>6250</v>
      </c>
      <c r="T30" s="41"/>
      <c r="U30" s="11">
        <f t="shared" si="16"/>
        <v>50000</v>
      </c>
      <c r="V30" s="11">
        <f t="shared" si="17"/>
        <v>0</v>
      </c>
    </row>
    <row r="31" spans="1:22" ht="25.5" x14ac:dyDescent="0.25">
      <c r="A31" s="2" t="s">
        <v>40</v>
      </c>
      <c r="B31" s="3" t="s">
        <v>41</v>
      </c>
      <c r="C31" s="11">
        <v>20400000</v>
      </c>
      <c r="D31" s="12"/>
      <c r="E31" s="13"/>
      <c r="F31" s="13"/>
      <c r="G31" s="14"/>
      <c r="H31" s="27">
        <f t="shared" si="14"/>
        <v>20400000</v>
      </c>
      <c r="I31" s="45"/>
      <c r="J31" s="48"/>
      <c r="K31" s="48"/>
      <c r="L31" s="17">
        <f>20400000/8</f>
        <v>2550000</v>
      </c>
      <c r="M31" s="17">
        <f t="shared" ref="M31:S31" si="22">20400000/8</f>
        <v>2550000</v>
      </c>
      <c r="N31" s="17">
        <f t="shared" si="22"/>
        <v>2550000</v>
      </c>
      <c r="O31" s="17">
        <f t="shared" si="22"/>
        <v>2550000</v>
      </c>
      <c r="P31" s="17">
        <f t="shared" si="22"/>
        <v>2550000</v>
      </c>
      <c r="Q31" s="17">
        <f t="shared" si="22"/>
        <v>2550000</v>
      </c>
      <c r="R31" s="17">
        <f t="shared" si="22"/>
        <v>2550000</v>
      </c>
      <c r="S31" s="17">
        <f t="shared" si="22"/>
        <v>2550000</v>
      </c>
      <c r="T31" s="41"/>
      <c r="U31" s="11">
        <f t="shared" si="16"/>
        <v>20400000</v>
      </c>
      <c r="V31" s="11">
        <f t="shared" si="17"/>
        <v>0</v>
      </c>
    </row>
    <row r="32" spans="1:22" ht="25.5" x14ac:dyDescent="0.25">
      <c r="A32" s="2" t="s">
        <v>42</v>
      </c>
      <c r="B32" s="3" t="s">
        <v>43</v>
      </c>
      <c r="C32" s="11">
        <v>6600000</v>
      </c>
      <c r="D32" s="12"/>
      <c r="E32" s="13"/>
      <c r="F32" s="13"/>
      <c r="G32" s="14"/>
      <c r="H32" s="27">
        <f t="shared" si="14"/>
        <v>6600000</v>
      </c>
      <c r="I32" s="45"/>
      <c r="J32" s="48"/>
      <c r="K32" s="48"/>
      <c r="L32" s="17"/>
      <c r="M32" s="17"/>
      <c r="N32" s="17"/>
      <c r="O32" s="17">
        <f>6600000/5</f>
        <v>1320000</v>
      </c>
      <c r="P32" s="17">
        <f t="shared" ref="P32:S32" si="23">6600000/5</f>
        <v>1320000</v>
      </c>
      <c r="Q32" s="17">
        <f t="shared" si="23"/>
        <v>1320000</v>
      </c>
      <c r="R32" s="17">
        <f t="shared" si="23"/>
        <v>1320000</v>
      </c>
      <c r="S32" s="17">
        <f t="shared" si="23"/>
        <v>1320000</v>
      </c>
      <c r="T32" s="41"/>
      <c r="U32" s="11">
        <f t="shared" si="16"/>
        <v>6600000</v>
      </c>
      <c r="V32" s="11">
        <f t="shared" si="17"/>
        <v>0</v>
      </c>
    </row>
    <row r="33" spans="1:22" ht="25.5" x14ac:dyDescent="0.25">
      <c r="A33" s="2" t="s">
        <v>82</v>
      </c>
      <c r="B33" s="3" t="s">
        <v>83</v>
      </c>
      <c r="C33" s="11">
        <v>0</v>
      </c>
      <c r="D33" s="12">
        <v>3700000</v>
      </c>
      <c r="E33" s="13"/>
      <c r="F33" s="13"/>
      <c r="G33" s="14"/>
      <c r="H33" s="27">
        <f t="shared" si="14"/>
        <v>3700000</v>
      </c>
      <c r="I33" s="45"/>
      <c r="J33" s="48"/>
      <c r="K33" s="48"/>
      <c r="L33" s="17">
        <f>3700000/8</f>
        <v>462500</v>
      </c>
      <c r="M33" s="17">
        <f t="shared" ref="M33:S33" si="24">3700000/8</f>
        <v>462500</v>
      </c>
      <c r="N33" s="17">
        <f t="shared" si="24"/>
        <v>462500</v>
      </c>
      <c r="O33" s="17">
        <f t="shared" si="24"/>
        <v>462500</v>
      </c>
      <c r="P33" s="17">
        <f t="shared" si="24"/>
        <v>462500</v>
      </c>
      <c r="Q33" s="17">
        <f t="shared" si="24"/>
        <v>462500</v>
      </c>
      <c r="R33" s="17">
        <f t="shared" si="24"/>
        <v>462500</v>
      </c>
      <c r="S33" s="17">
        <f t="shared" si="24"/>
        <v>462500</v>
      </c>
      <c r="T33" s="41"/>
      <c r="U33" s="11">
        <f t="shared" si="16"/>
        <v>3700000</v>
      </c>
      <c r="V33" s="11">
        <f t="shared" si="17"/>
        <v>0</v>
      </c>
    </row>
    <row r="34" spans="1:22" ht="25.5" x14ac:dyDescent="0.25">
      <c r="A34" s="2" t="s">
        <v>60</v>
      </c>
      <c r="B34" s="3" t="s">
        <v>61</v>
      </c>
      <c r="C34" s="11">
        <v>1000</v>
      </c>
      <c r="D34" s="12">
        <v>4110271</v>
      </c>
      <c r="E34" s="13"/>
      <c r="F34" s="13"/>
      <c r="G34" s="14"/>
      <c r="H34" s="27">
        <f t="shared" si="14"/>
        <v>4111271</v>
      </c>
      <c r="I34" s="45"/>
      <c r="J34" s="48"/>
      <c r="K34" s="48"/>
      <c r="L34" s="17">
        <f>4111271/8</f>
        <v>513908.875</v>
      </c>
      <c r="M34" s="17">
        <f t="shared" ref="M34:S34" si="25">4111271/8</f>
        <v>513908.875</v>
      </c>
      <c r="N34" s="17">
        <f t="shared" si="25"/>
        <v>513908.875</v>
      </c>
      <c r="O34" s="17">
        <f t="shared" si="25"/>
        <v>513908.875</v>
      </c>
      <c r="P34" s="17">
        <f t="shared" si="25"/>
        <v>513908.875</v>
      </c>
      <c r="Q34" s="17">
        <f t="shared" si="25"/>
        <v>513908.875</v>
      </c>
      <c r="R34" s="17">
        <f t="shared" si="25"/>
        <v>513908.875</v>
      </c>
      <c r="S34" s="17">
        <f t="shared" si="25"/>
        <v>513908.875</v>
      </c>
      <c r="T34" s="41"/>
      <c r="U34" s="11">
        <f t="shared" si="16"/>
        <v>4111271</v>
      </c>
      <c r="V34" s="11">
        <f t="shared" si="17"/>
        <v>0</v>
      </c>
    </row>
    <row r="35" spans="1:22" ht="25.5" x14ac:dyDescent="0.25">
      <c r="A35" s="2" t="s">
        <v>44</v>
      </c>
      <c r="B35" s="3" t="s">
        <v>45</v>
      </c>
      <c r="C35" s="11">
        <v>1500000</v>
      </c>
      <c r="D35" s="12"/>
      <c r="E35" s="13"/>
      <c r="F35" s="13"/>
      <c r="G35" s="14"/>
      <c r="H35" s="27">
        <f t="shared" si="14"/>
        <v>1500000</v>
      </c>
      <c r="I35" s="45">
        <v>300118</v>
      </c>
      <c r="J35" s="48">
        <v>967</v>
      </c>
      <c r="K35" s="48">
        <v>192526.53</v>
      </c>
      <c r="L35" s="17">
        <f>1006388.47/9</f>
        <v>111820.94111111111</v>
      </c>
      <c r="M35" s="17">
        <f t="shared" ref="M35:T35" si="26">1006388.47/9</f>
        <v>111820.94111111111</v>
      </c>
      <c r="N35" s="17">
        <f t="shared" si="26"/>
        <v>111820.94111111111</v>
      </c>
      <c r="O35" s="17">
        <f t="shared" si="26"/>
        <v>111820.94111111111</v>
      </c>
      <c r="P35" s="17">
        <f t="shared" si="26"/>
        <v>111820.94111111111</v>
      </c>
      <c r="Q35" s="17">
        <f t="shared" si="26"/>
        <v>111820.94111111111</v>
      </c>
      <c r="R35" s="17">
        <f t="shared" si="26"/>
        <v>111820.94111111111</v>
      </c>
      <c r="S35" s="17">
        <f t="shared" si="26"/>
        <v>111820.94111111111</v>
      </c>
      <c r="T35" s="17">
        <f t="shared" si="26"/>
        <v>111820.94111111111</v>
      </c>
      <c r="U35" s="11">
        <f t="shared" si="16"/>
        <v>1499999.9999999998</v>
      </c>
      <c r="V35" s="11">
        <f t="shared" si="17"/>
        <v>0</v>
      </c>
    </row>
    <row r="36" spans="1:22" ht="25.5" x14ac:dyDescent="0.25">
      <c r="A36" s="2" t="s">
        <v>58</v>
      </c>
      <c r="B36" s="3" t="s">
        <v>59</v>
      </c>
      <c r="C36" s="11">
        <v>0</v>
      </c>
      <c r="D36" s="12">
        <v>314964</v>
      </c>
      <c r="E36" s="13"/>
      <c r="F36" s="13"/>
      <c r="G36" s="14"/>
      <c r="H36" s="27">
        <f t="shared" si="14"/>
        <v>314964</v>
      </c>
      <c r="I36" s="45">
        <v>20230</v>
      </c>
      <c r="J36" s="48"/>
      <c r="K36" s="48"/>
      <c r="L36" s="17">
        <f>294734/9</f>
        <v>32748.222222222223</v>
      </c>
      <c r="M36" s="17">
        <f t="shared" ref="M36:T36" si="27">294734/9</f>
        <v>32748.222222222223</v>
      </c>
      <c r="N36" s="17">
        <f t="shared" si="27"/>
        <v>32748.222222222223</v>
      </c>
      <c r="O36" s="17">
        <f t="shared" si="27"/>
        <v>32748.222222222223</v>
      </c>
      <c r="P36" s="17">
        <f t="shared" si="27"/>
        <v>32748.222222222223</v>
      </c>
      <c r="Q36" s="17">
        <f t="shared" si="27"/>
        <v>32748.222222222223</v>
      </c>
      <c r="R36" s="17">
        <f t="shared" si="27"/>
        <v>32748.222222222223</v>
      </c>
      <c r="S36" s="17">
        <f t="shared" si="27"/>
        <v>32748.222222222223</v>
      </c>
      <c r="T36" s="17">
        <f t="shared" si="27"/>
        <v>32748.222222222223</v>
      </c>
      <c r="U36" s="11">
        <f t="shared" si="16"/>
        <v>314964</v>
      </c>
      <c r="V36" s="11">
        <f t="shared" si="17"/>
        <v>0</v>
      </c>
    </row>
    <row r="37" spans="1:22" ht="25.5" x14ac:dyDescent="0.25">
      <c r="A37" s="2" t="s">
        <v>46</v>
      </c>
      <c r="B37" s="3" t="s">
        <v>47</v>
      </c>
      <c r="C37" s="11">
        <v>5500000</v>
      </c>
      <c r="D37" s="12"/>
      <c r="E37" s="13"/>
      <c r="F37" s="13"/>
      <c r="G37" s="14"/>
      <c r="H37" s="27">
        <f t="shared" si="14"/>
        <v>5500000</v>
      </c>
      <c r="I37" s="45"/>
      <c r="J37" s="48"/>
      <c r="K37" s="48"/>
      <c r="L37" s="17">
        <f>5500000/8</f>
        <v>687500</v>
      </c>
      <c r="M37" s="17">
        <f t="shared" ref="M37:S37" si="28">5500000/8</f>
        <v>687500</v>
      </c>
      <c r="N37" s="17">
        <f t="shared" si="28"/>
        <v>687500</v>
      </c>
      <c r="O37" s="17">
        <f t="shared" si="28"/>
        <v>687500</v>
      </c>
      <c r="P37" s="17">
        <f t="shared" si="28"/>
        <v>687500</v>
      </c>
      <c r="Q37" s="17">
        <f t="shared" si="28"/>
        <v>687500</v>
      </c>
      <c r="R37" s="17">
        <f t="shared" si="28"/>
        <v>687500</v>
      </c>
      <c r="S37" s="17">
        <f t="shared" si="28"/>
        <v>687500</v>
      </c>
      <c r="T37" s="41"/>
      <c r="U37" s="11">
        <f t="shared" si="16"/>
        <v>5500000</v>
      </c>
      <c r="V37" s="11">
        <f t="shared" si="17"/>
        <v>0</v>
      </c>
    </row>
    <row r="38" spans="1:22" ht="25.5" x14ac:dyDescent="0.25">
      <c r="A38" s="2" t="s">
        <v>48</v>
      </c>
      <c r="B38" s="3" t="s">
        <v>49</v>
      </c>
      <c r="C38" s="11">
        <v>29000000</v>
      </c>
      <c r="D38" s="12"/>
      <c r="E38" s="13"/>
      <c r="F38" s="13"/>
      <c r="G38" s="14"/>
      <c r="H38" s="27">
        <f t="shared" si="14"/>
        <v>29000000</v>
      </c>
      <c r="I38" s="45"/>
      <c r="J38" s="48"/>
      <c r="K38" s="48"/>
      <c r="L38" s="17">
        <f>29000000/8</f>
        <v>3625000</v>
      </c>
      <c r="M38" s="17">
        <f t="shared" ref="M38:S38" si="29">29000000/8</f>
        <v>3625000</v>
      </c>
      <c r="N38" s="17">
        <f t="shared" si="29"/>
        <v>3625000</v>
      </c>
      <c r="O38" s="17">
        <f t="shared" si="29"/>
        <v>3625000</v>
      </c>
      <c r="P38" s="17">
        <f t="shared" si="29"/>
        <v>3625000</v>
      </c>
      <c r="Q38" s="17">
        <f t="shared" si="29"/>
        <v>3625000</v>
      </c>
      <c r="R38" s="17">
        <f t="shared" si="29"/>
        <v>3625000</v>
      </c>
      <c r="S38" s="17">
        <f t="shared" si="29"/>
        <v>3625000</v>
      </c>
      <c r="T38" s="41"/>
      <c r="U38" s="11">
        <f t="shared" si="16"/>
        <v>29000000</v>
      </c>
      <c r="V38" s="11">
        <f t="shared" si="17"/>
        <v>0</v>
      </c>
    </row>
    <row r="39" spans="1:22" ht="25.5" x14ac:dyDescent="0.25">
      <c r="A39" s="2" t="s">
        <v>84</v>
      </c>
      <c r="B39" s="3" t="s">
        <v>85</v>
      </c>
      <c r="C39" s="11">
        <v>0</v>
      </c>
      <c r="D39" s="12">
        <v>4800000</v>
      </c>
      <c r="E39" s="13"/>
      <c r="F39" s="13"/>
      <c r="G39" s="14"/>
      <c r="H39" s="27">
        <f t="shared" si="14"/>
        <v>4800000</v>
      </c>
      <c r="I39" s="45"/>
      <c r="J39" s="48"/>
      <c r="K39" s="48">
        <v>2400000</v>
      </c>
      <c r="L39" s="17">
        <f>2400000/8</f>
        <v>300000</v>
      </c>
      <c r="M39" s="17">
        <f t="shared" ref="M39:S39" si="30">2400000/8</f>
        <v>300000</v>
      </c>
      <c r="N39" s="17">
        <f t="shared" si="30"/>
        <v>300000</v>
      </c>
      <c r="O39" s="17">
        <f t="shared" si="30"/>
        <v>300000</v>
      </c>
      <c r="P39" s="17">
        <f t="shared" si="30"/>
        <v>300000</v>
      </c>
      <c r="Q39" s="17">
        <f t="shared" si="30"/>
        <v>300000</v>
      </c>
      <c r="R39" s="17">
        <f t="shared" si="30"/>
        <v>300000</v>
      </c>
      <c r="S39" s="17">
        <f t="shared" si="30"/>
        <v>300000</v>
      </c>
      <c r="T39" s="41"/>
      <c r="U39" s="11">
        <f t="shared" si="16"/>
        <v>4800000</v>
      </c>
      <c r="V39" s="11">
        <f t="shared" si="17"/>
        <v>0</v>
      </c>
    </row>
    <row r="40" spans="1:22" ht="25.5" x14ac:dyDescent="0.25">
      <c r="A40" s="2" t="s">
        <v>86</v>
      </c>
      <c r="B40" s="3" t="s">
        <v>87</v>
      </c>
      <c r="C40" s="11">
        <v>1900000</v>
      </c>
      <c r="D40" s="12"/>
      <c r="E40" s="13"/>
      <c r="F40" s="13"/>
      <c r="G40" s="14"/>
      <c r="H40" s="27">
        <f t="shared" si="14"/>
        <v>1900000</v>
      </c>
      <c r="I40" s="45"/>
      <c r="J40" s="48"/>
      <c r="K40" s="48"/>
      <c r="L40" s="17">
        <f>1900000/8</f>
        <v>237500</v>
      </c>
      <c r="M40" s="17">
        <f t="shared" ref="M40:S40" si="31">1900000/8</f>
        <v>237500</v>
      </c>
      <c r="N40" s="17">
        <f t="shared" si="31"/>
        <v>237500</v>
      </c>
      <c r="O40" s="17">
        <f t="shared" si="31"/>
        <v>237500</v>
      </c>
      <c r="P40" s="17">
        <f t="shared" si="31"/>
        <v>237500</v>
      </c>
      <c r="Q40" s="17">
        <f t="shared" si="31"/>
        <v>237500</v>
      </c>
      <c r="R40" s="17">
        <f t="shared" si="31"/>
        <v>237500</v>
      </c>
      <c r="S40" s="17">
        <f t="shared" si="31"/>
        <v>237500</v>
      </c>
      <c r="T40" s="41"/>
      <c r="U40" s="11">
        <f t="shared" si="16"/>
        <v>1900000</v>
      </c>
      <c r="V40" s="11">
        <f t="shared" si="17"/>
        <v>0</v>
      </c>
    </row>
    <row r="41" spans="1:22" ht="25.5" x14ac:dyDescent="0.25">
      <c r="A41" s="2" t="s">
        <v>66</v>
      </c>
      <c r="B41" s="3" t="s">
        <v>88</v>
      </c>
      <c r="C41" s="11">
        <v>16000000</v>
      </c>
      <c r="D41" s="12"/>
      <c r="E41" s="13"/>
      <c r="F41" s="13"/>
      <c r="G41" s="14"/>
      <c r="H41" s="27">
        <f t="shared" si="14"/>
        <v>16000000</v>
      </c>
      <c r="I41" s="45"/>
      <c r="J41" s="48"/>
      <c r="K41" s="48"/>
      <c r="L41" s="17">
        <f>16000000/8</f>
        <v>2000000</v>
      </c>
      <c r="M41" s="17">
        <f t="shared" ref="M41:S41" si="32">16000000/8</f>
        <v>2000000</v>
      </c>
      <c r="N41" s="17">
        <f t="shared" si="32"/>
        <v>2000000</v>
      </c>
      <c r="O41" s="17">
        <f t="shared" si="32"/>
        <v>2000000</v>
      </c>
      <c r="P41" s="17">
        <f t="shared" si="32"/>
        <v>2000000</v>
      </c>
      <c r="Q41" s="17">
        <f t="shared" si="32"/>
        <v>2000000</v>
      </c>
      <c r="R41" s="17">
        <f t="shared" si="32"/>
        <v>2000000</v>
      </c>
      <c r="S41" s="17">
        <f t="shared" si="32"/>
        <v>2000000</v>
      </c>
      <c r="T41" s="41"/>
      <c r="U41" s="11">
        <f t="shared" si="16"/>
        <v>16000000</v>
      </c>
      <c r="V41" s="11">
        <f t="shared" si="17"/>
        <v>0</v>
      </c>
    </row>
    <row r="42" spans="1:22" ht="25.5" x14ac:dyDescent="0.25">
      <c r="A42" s="2" t="s">
        <v>89</v>
      </c>
      <c r="B42" s="3" t="s">
        <v>90</v>
      </c>
      <c r="C42" s="11">
        <v>0</v>
      </c>
      <c r="D42" s="12">
        <v>6600000</v>
      </c>
      <c r="E42" s="13"/>
      <c r="F42" s="13"/>
      <c r="G42" s="14"/>
      <c r="H42" s="27">
        <f t="shared" si="14"/>
        <v>6600000</v>
      </c>
      <c r="I42" s="45"/>
      <c r="J42" s="48"/>
      <c r="K42" s="48"/>
      <c r="L42" s="17">
        <f>6600000/8</f>
        <v>825000</v>
      </c>
      <c r="M42" s="17">
        <f t="shared" ref="M42:S42" si="33">6600000/8</f>
        <v>825000</v>
      </c>
      <c r="N42" s="17">
        <f t="shared" si="33"/>
        <v>825000</v>
      </c>
      <c r="O42" s="17">
        <f t="shared" si="33"/>
        <v>825000</v>
      </c>
      <c r="P42" s="17">
        <f t="shared" si="33"/>
        <v>825000</v>
      </c>
      <c r="Q42" s="17">
        <f t="shared" si="33"/>
        <v>825000</v>
      </c>
      <c r="R42" s="17">
        <f t="shared" si="33"/>
        <v>825000</v>
      </c>
      <c r="S42" s="17">
        <f t="shared" si="33"/>
        <v>825000</v>
      </c>
      <c r="T42" s="41"/>
      <c r="U42" s="11">
        <f t="shared" si="16"/>
        <v>6600000</v>
      </c>
      <c r="V42" s="11">
        <f t="shared" si="17"/>
        <v>0</v>
      </c>
    </row>
    <row r="43" spans="1:22" ht="25.5" x14ac:dyDescent="0.25">
      <c r="A43" s="2" t="s">
        <v>50</v>
      </c>
      <c r="B43" s="3" t="s">
        <v>51</v>
      </c>
      <c r="C43" s="11">
        <v>2800000</v>
      </c>
      <c r="D43" s="12"/>
      <c r="E43" s="13"/>
      <c r="F43" s="13"/>
      <c r="G43" s="14"/>
      <c r="H43" s="27">
        <f t="shared" si="14"/>
        <v>2800000</v>
      </c>
      <c r="I43" s="45"/>
      <c r="J43" s="48"/>
      <c r="K43" s="48"/>
      <c r="L43" s="17">
        <f>2800000/8</f>
        <v>350000</v>
      </c>
      <c r="M43" s="17">
        <f t="shared" ref="M43:S43" si="34">2800000/8</f>
        <v>350000</v>
      </c>
      <c r="N43" s="17">
        <f t="shared" si="34"/>
        <v>350000</v>
      </c>
      <c r="O43" s="17">
        <f t="shared" si="34"/>
        <v>350000</v>
      </c>
      <c r="P43" s="17">
        <f t="shared" si="34"/>
        <v>350000</v>
      </c>
      <c r="Q43" s="17">
        <f t="shared" si="34"/>
        <v>350000</v>
      </c>
      <c r="R43" s="17">
        <f t="shared" si="34"/>
        <v>350000</v>
      </c>
      <c r="S43" s="17">
        <f t="shared" si="34"/>
        <v>350000</v>
      </c>
      <c r="T43" s="41"/>
      <c r="U43" s="11">
        <f t="shared" si="16"/>
        <v>2800000</v>
      </c>
      <c r="V43" s="11">
        <f t="shared" si="17"/>
        <v>0</v>
      </c>
    </row>
    <row r="44" spans="1:22" ht="25.5" x14ac:dyDescent="0.25">
      <c r="A44" s="2" t="s">
        <v>91</v>
      </c>
      <c r="B44" s="3" t="s">
        <v>92</v>
      </c>
      <c r="C44" s="11">
        <v>3700000</v>
      </c>
      <c r="D44" s="12"/>
      <c r="E44" s="13"/>
      <c r="F44" s="13"/>
      <c r="G44" s="14"/>
      <c r="H44" s="27">
        <f t="shared" si="14"/>
        <v>3700000</v>
      </c>
      <c r="I44" s="45"/>
      <c r="J44" s="48"/>
      <c r="K44" s="48"/>
      <c r="L44" s="17">
        <f>3700000/9</f>
        <v>411111.11111111112</v>
      </c>
      <c r="M44" s="17">
        <f t="shared" ref="M44:T44" si="35">3700000/9</f>
        <v>411111.11111111112</v>
      </c>
      <c r="N44" s="17">
        <f t="shared" si="35"/>
        <v>411111.11111111112</v>
      </c>
      <c r="O44" s="17">
        <f t="shared" si="35"/>
        <v>411111.11111111112</v>
      </c>
      <c r="P44" s="17">
        <f t="shared" si="35"/>
        <v>411111.11111111112</v>
      </c>
      <c r="Q44" s="17">
        <f t="shared" si="35"/>
        <v>411111.11111111112</v>
      </c>
      <c r="R44" s="17">
        <f t="shared" si="35"/>
        <v>411111.11111111112</v>
      </c>
      <c r="S44" s="17">
        <f t="shared" si="35"/>
        <v>411111.11111111112</v>
      </c>
      <c r="T44" s="17">
        <f t="shared" si="35"/>
        <v>411111.11111111112</v>
      </c>
      <c r="U44" s="11">
        <f t="shared" si="16"/>
        <v>3699999.9999999995</v>
      </c>
      <c r="V44" s="11">
        <f t="shared" si="17"/>
        <v>0</v>
      </c>
    </row>
    <row r="45" spans="1:22" ht="25.5" x14ac:dyDescent="0.25">
      <c r="A45" s="2" t="s">
        <v>52</v>
      </c>
      <c r="B45" s="3" t="s">
        <v>53</v>
      </c>
      <c r="C45" s="11">
        <v>3700000</v>
      </c>
      <c r="D45" s="12"/>
      <c r="E45" s="13"/>
      <c r="F45" s="13"/>
      <c r="G45" s="14"/>
      <c r="H45" s="27">
        <f t="shared" si="14"/>
        <v>3700000</v>
      </c>
      <c r="I45" s="45"/>
      <c r="J45" s="48">
        <v>531199</v>
      </c>
      <c r="K45" s="48">
        <v>404959</v>
      </c>
      <c r="L45" s="17">
        <f>2763842/9</f>
        <v>307093.55555555556</v>
      </c>
      <c r="M45" s="17">
        <f t="shared" ref="M45:T45" si="36">2763842/9</f>
        <v>307093.55555555556</v>
      </c>
      <c r="N45" s="17">
        <f t="shared" si="36"/>
        <v>307093.55555555556</v>
      </c>
      <c r="O45" s="17">
        <f t="shared" si="36"/>
        <v>307093.55555555556</v>
      </c>
      <c r="P45" s="17">
        <f t="shared" si="36"/>
        <v>307093.55555555556</v>
      </c>
      <c r="Q45" s="17">
        <f t="shared" si="36"/>
        <v>307093.55555555556</v>
      </c>
      <c r="R45" s="17">
        <f t="shared" si="36"/>
        <v>307093.55555555556</v>
      </c>
      <c r="S45" s="17">
        <f t="shared" si="36"/>
        <v>307093.55555555556</v>
      </c>
      <c r="T45" s="17">
        <f t="shared" si="36"/>
        <v>307093.55555555556</v>
      </c>
      <c r="U45" s="11">
        <f t="shared" si="16"/>
        <v>3699999.9999999995</v>
      </c>
      <c r="V45" s="11">
        <f t="shared" si="17"/>
        <v>0</v>
      </c>
    </row>
    <row r="46" spans="1:22" ht="25.5" x14ac:dyDescent="0.25">
      <c r="A46" s="2" t="s">
        <v>64</v>
      </c>
      <c r="B46" s="3" t="s">
        <v>65</v>
      </c>
      <c r="C46" s="11">
        <v>0</v>
      </c>
      <c r="D46" s="12">
        <v>300000</v>
      </c>
      <c r="E46" s="13"/>
      <c r="F46" s="13"/>
      <c r="G46" s="14"/>
      <c r="H46" s="27">
        <f t="shared" si="14"/>
        <v>300000</v>
      </c>
      <c r="I46" s="45"/>
      <c r="J46" s="48"/>
      <c r="K46" s="48"/>
      <c r="L46" s="17">
        <f>300000/9</f>
        <v>33333.333333333336</v>
      </c>
      <c r="M46" s="17">
        <f t="shared" ref="M46:T46" si="37">300000/9</f>
        <v>33333.333333333336</v>
      </c>
      <c r="N46" s="17">
        <f t="shared" si="37"/>
        <v>33333.333333333336</v>
      </c>
      <c r="O46" s="17">
        <f t="shared" si="37"/>
        <v>33333.333333333336</v>
      </c>
      <c r="P46" s="17">
        <f t="shared" si="37"/>
        <v>33333.333333333336</v>
      </c>
      <c r="Q46" s="17">
        <f t="shared" si="37"/>
        <v>33333.333333333336</v>
      </c>
      <c r="R46" s="17">
        <f t="shared" si="37"/>
        <v>33333.333333333336</v>
      </c>
      <c r="S46" s="17">
        <f t="shared" si="37"/>
        <v>33333.333333333336</v>
      </c>
      <c r="T46" s="17">
        <f t="shared" si="37"/>
        <v>33333.333333333336</v>
      </c>
      <c r="U46" s="11">
        <f t="shared" si="16"/>
        <v>300000</v>
      </c>
      <c r="V46" s="11">
        <f t="shared" si="17"/>
        <v>0</v>
      </c>
    </row>
    <row r="47" spans="1:22" ht="25.5" x14ac:dyDescent="0.25">
      <c r="A47" s="2" t="s">
        <v>54</v>
      </c>
      <c r="B47" s="3" t="s">
        <v>55</v>
      </c>
      <c r="C47" s="11">
        <v>0</v>
      </c>
      <c r="D47" s="12">
        <v>959359</v>
      </c>
      <c r="E47" s="13"/>
      <c r="F47" s="13"/>
      <c r="G47" s="14"/>
      <c r="H47" s="27">
        <f t="shared" si="14"/>
        <v>959359</v>
      </c>
      <c r="I47" s="45">
        <v>406459</v>
      </c>
      <c r="J47" s="48"/>
      <c r="K47" s="48"/>
      <c r="L47" s="17">
        <f>552900/9</f>
        <v>61433.333333333336</v>
      </c>
      <c r="M47" s="17">
        <f t="shared" ref="M47:T47" si="38">552900/9</f>
        <v>61433.333333333336</v>
      </c>
      <c r="N47" s="17">
        <f t="shared" si="38"/>
        <v>61433.333333333336</v>
      </c>
      <c r="O47" s="17">
        <f t="shared" si="38"/>
        <v>61433.333333333336</v>
      </c>
      <c r="P47" s="17">
        <f t="shared" si="38"/>
        <v>61433.333333333336</v>
      </c>
      <c r="Q47" s="17">
        <f t="shared" si="38"/>
        <v>61433.333333333336</v>
      </c>
      <c r="R47" s="17">
        <f t="shared" si="38"/>
        <v>61433.333333333336</v>
      </c>
      <c r="S47" s="17">
        <f t="shared" si="38"/>
        <v>61433.333333333336</v>
      </c>
      <c r="T47" s="17">
        <f t="shared" si="38"/>
        <v>61433.333333333336</v>
      </c>
      <c r="U47" s="11">
        <f t="shared" si="16"/>
        <v>959359.00000000023</v>
      </c>
      <c r="V47" s="11">
        <f t="shared" si="17"/>
        <v>0</v>
      </c>
    </row>
    <row r="48" spans="1:22" ht="25.5" x14ac:dyDescent="0.25">
      <c r="A48" s="2" t="s">
        <v>56</v>
      </c>
      <c r="B48" s="3" t="s">
        <v>57</v>
      </c>
      <c r="C48" s="11">
        <v>1000</v>
      </c>
      <c r="D48" s="12"/>
      <c r="E48" s="13"/>
      <c r="F48" s="13"/>
      <c r="G48" s="14"/>
      <c r="H48" s="27">
        <f t="shared" si="14"/>
        <v>1000</v>
      </c>
      <c r="I48" s="45"/>
      <c r="J48" s="48"/>
      <c r="K48" s="48"/>
      <c r="L48" s="17">
        <f>1000/9</f>
        <v>111.11111111111111</v>
      </c>
      <c r="M48" s="17">
        <f t="shared" ref="M48:T48" si="39">1000/9</f>
        <v>111.11111111111111</v>
      </c>
      <c r="N48" s="17">
        <f t="shared" si="39"/>
        <v>111.11111111111111</v>
      </c>
      <c r="O48" s="17">
        <f t="shared" si="39"/>
        <v>111.11111111111111</v>
      </c>
      <c r="P48" s="17">
        <f t="shared" si="39"/>
        <v>111.11111111111111</v>
      </c>
      <c r="Q48" s="17">
        <f t="shared" si="39"/>
        <v>111.11111111111111</v>
      </c>
      <c r="R48" s="17">
        <f t="shared" si="39"/>
        <v>111.11111111111111</v>
      </c>
      <c r="S48" s="17">
        <f t="shared" si="39"/>
        <v>111.11111111111111</v>
      </c>
      <c r="T48" s="17">
        <f t="shared" si="39"/>
        <v>111.11111111111111</v>
      </c>
      <c r="U48" s="11">
        <f t="shared" si="16"/>
        <v>999.99999999999989</v>
      </c>
      <c r="V48" s="11">
        <f t="shared" si="17"/>
        <v>0</v>
      </c>
    </row>
    <row r="49" spans="1:22" ht="13.5" thickBot="1" x14ac:dyDescent="0.3">
      <c r="A49" s="6"/>
      <c r="B49" s="7"/>
      <c r="C49" s="19"/>
      <c r="D49" s="20"/>
      <c r="E49" s="21"/>
      <c r="F49" s="21"/>
      <c r="G49" s="22"/>
      <c r="H49" s="38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42"/>
      <c r="U49" s="43"/>
      <c r="V49" s="19"/>
    </row>
    <row r="50" spans="1:22" ht="13.5" thickBot="1" x14ac:dyDescent="0.3">
      <c r="A50" s="66" t="s">
        <v>26</v>
      </c>
      <c r="B50" s="67"/>
      <c r="C50" s="23">
        <f t="shared" ref="C50:V50" si="40">SUM(C25:C49)</f>
        <v>129053000</v>
      </c>
      <c r="D50" s="24">
        <f t="shared" si="40"/>
        <v>20784594</v>
      </c>
      <c r="E50" s="25">
        <f t="shared" si="40"/>
        <v>0</v>
      </c>
      <c r="F50" s="25">
        <f t="shared" si="40"/>
        <v>0</v>
      </c>
      <c r="G50" s="26">
        <f t="shared" si="40"/>
        <v>0</v>
      </c>
      <c r="H50" s="23">
        <f t="shared" si="40"/>
        <v>149837594</v>
      </c>
      <c r="I50" s="35">
        <f t="shared" si="40"/>
        <v>726807</v>
      </c>
      <c r="J50" s="36">
        <f t="shared" si="40"/>
        <v>532166</v>
      </c>
      <c r="K50" s="36">
        <f t="shared" si="40"/>
        <v>2997485.53</v>
      </c>
      <c r="L50" s="36">
        <f t="shared" si="40"/>
        <v>14077935.482777782</v>
      </c>
      <c r="M50" s="36">
        <f t="shared" si="40"/>
        <v>14077935.482777782</v>
      </c>
      <c r="N50" s="36">
        <f t="shared" si="40"/>
        <v>14077935.482777782</v>
      </c>
      <c r="O50" s="36">
        <f t="shared" si="40"/>
        <v>20477935.482777778</v>
      </c>
      <c r="P50" s="36">
        <f t="shared" si="40"/>
        <v>20477935.482777778</v>
      </c>
      <c r="Q50" s="36">
        <f t="shared" si="40"/>
        <v>20477935.482777778</v>
      </c>
      <c r="R50" s="36">
        <f t="shared" si="40"/>
        <v>20477935.482777778</v>
      </c>
      <c r="S50" s="36">
        <f t="shared" si="40"/>
        <v>20477935.482777778</v>
      </c>
      <c r="T50" s="37">
        <f t="shared" si="40"/>
        <v>957651.60777777794</v>
      </c>
      <c r="U50" s="23">
        <f t="shared" si="40"/>
        <v>149837594</v>
      </c>
      <c r="V50" s="23">
        <f t="shared" si="40"/>
        <v>0</v>
      </c>
    </row>
    <row r="54" spans="1:22" x14ac:dyDescent="0.25">
      <c r="B54" s="102" t="s">
        <v>116</v>
      </c>
    </row>
    <row r="55" spans="1:22" x14ac:dyDescent="0.25">
      <c r="B55" s="1" t="s">
        <v>117</v>
      </c>
    </row>
    <row r="57" spans="1:22" ht="15.75" customHeight="1" x14ac:dyDescent="0.25">
      <c r="A57" s="102" t="s">
        <v>123</v>
      </c>
      <c r="B57" s="102" t="s">
        <v>119</v>
      </c>
    </row>
  </sheetData>
  <mergeCells count="73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2:E12"/>
    <mergeCell ref="F12:G12"/>
    <mergeCell ref="D13:E13"/>
    <mergeCell ref="F13:G13"/>
    <mergeCell ref="D15:E15"/>
    <mergeCell ref="F15:G15"/>
    <mergeCell ref="A22:V22"/>
    <mergeCell ref="D16:E16"/>
    <mergeCell ref="F16:G16"/>
    <mergeCell ref="D17:E17"/>
    <mergeCell ref="F17:G17"/>
    <mergeCell ref="D18:E18"/>
    <mergeCell ref="F18:G18"/>
    <mergeCell ref="D19:E19"/>
    <mergeCell ref="F19:G19"/>
    <mergeCell ref="A20:B20"/>
    <mergeCell ref="D20:E20"/>
    <mergeCell ref="F20:G20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V23:V24"/>
    <mergeCell ref="A50:B50"/>
    <mergeCell ref="D11:E11"/>
    <mergeCell ref="F11:G11"/>
    <mergeCell ref="D10:E10"/>
    <mergeCell ref="F10:G10"/>
    <mergeCell ref="D14:E14"/>
    <mergeCell ref="F14:G14"/>
    <mergeCell ref="P23:P24"/>
    <mergeCell ref="Q23:Q24"/>
    <mergeCell ref="R23:R24"/>
    <mergeCell ref="S23:S24"/>
    <mergeCell ref="T23:T24"/>
    <mergeCell ref="U23:U24"/>
    <mergeCell ref="J23:J24"/>
    <mergeCell ref="K23:K2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8" orientation="landscape" r:id="rId1"/>
  <headerFooter>
    <oddFooter>&amp;L&amp;F&amp;C&amp;A&amp;R&amp;P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opLeftCell="A49" zoomScale="97" zoomScaleNormal="97" workbookViewId="0">
      <selection activeCell="A60" sqref="A60:B63"/>
    </sheetView>
  </sheetViews>
  <sheetFormatPr baseColWidth="10" defaultColWidth="11.42578125" defaultRowHeight="12.75" x14ac:dyDescent="0.25"/>
  <cols>
    <col min="1" max="1" width="18" style="1" customWidth="1"/>
    <col min="2" max="2" width="28.85546875" style="1" customWidth="1"/>
    <col min="3" max="3" width="15.42578125" style="1" customWidth="1"/>
    <col min="4" max="4" width="10.7109375" style="1" customWidth="1"/>
    <col min="5" max="6" width="3.7109375" style="1" customWidth="1"/>
    <col min="7" max="7" width="11.140625" style="1" customWidth="1"/>
    <col min="8" max="8" width="11.7109375" style="1" customWidth="1"/>
    <col min="9" max="9" width="11.85546875" style="1" customWidth="1"/>
    <col min="10" max="10" width="10.42578125" style="1" customWidth="1"/>
    <col min="11" max="11" width="11.7109375" style="1" customWidth="1"/>
    <col min="12" max="12" width="9.7109375" style="1" customWidth="1"/>
    <col min="13" max="19" width="10.7109375" style="1" customWidth="1"/>
    <col min="20" max="20" width="10" style="1" customWidth="1"/>
    <col min="21" max="21" width="13.5703125" style="1" customWidth="1"/>
    <col min="22" max="22" width="10.85546875" style="1" customWidth="1"/>
    <col min="23" max="23" width="11.5703125" style="1" bestFit="1" customWidth="1"/>
    <col min="24" max="16384" width="11.42578125" style="1"/>
  </cols>
  <sheetData>
    <row r="1" spans="1:22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29">
        <f>1467000/8</f>
        <v>183375</v>
      </c>
      <c r="N8" s="29">
        <f t="shared" ref="N8:T8" si="0">1467000/8</f>
        <v>183375</v>
      </c>
      <c r="O8" s="29">
        <f t="shared" si="0"/>
        <v>183375</v>
      </c>
      <c r="P8" s="29">
        <f t="shared" si="0"/>
        <v>183375</v>
      </c>
      <c r="Q8" s="29">
        <f t="shared" si="0"/>
        <v>183375</v>
      </c>
      <c r="R8" s="29">
        <f t="shared" si="0"/>
        <v>183375</v>
      </c>
      <c r="S8" s="29">
        <f t="shared" si="0"/>
        <v>183375</v>
      </c>
      <c r="T8" s="29">
        <f t="shared" si="0"/>
        <v>183375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17">
        <f>2189000/7</f>
        <v>312714.28571428574</v>
      </c>
      <c r="N9" s="17">
        <f t="shared" ref="N9:S9" si="2">2189000/7</f>
        <v>312714.28571428574</v>
      </c>
      <c r="O9" s="17">
        <f t="shared" si="2"/>
        <v>312714.28571428574</v>
      </c>
      <c r="P9" s="17">
        <f t="shared" si="2"/>
        <v>312714.28571428574</v>
      </c>
      <c r="Q9" s="17">
        <f t="shared" si="2"/>
        <v>312714.28571428574</v>
      </c>
      <c r="R9" s="17">
        <f t="shared" si="2"/>
        <v>312714.28571428574</v>
      </c>
      <c r="S9" s="17">
        <f t="shared" si="2"/>
        <v>312714.28571428574</v>
      </c>
      <c r="T9" s="17"/>
      <c r="U9" s="15">
        <f t="shared" ref="U9:U19" si="3">SUM(I9:T9)</f>
        <v>5499999.9999999991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17"/>
      <c r="N10" s="17"/>
      <c r="O10" s="17"/>
      <c r="P10" s="17"/>
      <c r="Q10" s="17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17"/>
      <c r="N11" s="17"/>
      <c r="O11" s="17"/>
      <c r="P11" s="17"/>
      <c r="Q11" s="17"/>
      <c r="R11" s="17"/>
      <c r="S11" s="17"/>
      <c r="T11" s="18"/>
      <c r="U11" s="15">
        <f t="shared" si="3"/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17"/>
      <c r="N12" s="17"/>
      <c r="O12" s="17"/>
      <c r="P12" s="17"/>
      <c r="Q12" s="17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17"/>
      <c r="N13" s="17"/>
      <c r="O13" s="17">
        <v>32000000</v>
      </c>
      <c r="P13" s="17"/>
      <c r="Q13" s="17"/>
      <c r="R13" s="17"/>
      <c r="S13" s="17"/>
      <c r="T13" s="18"/>
      <c r="U13" s="15">
        <f t="shared" si="3"/>
        <v>32000000</v>
      </c>
      <c r="V13" s="15">
        <f>H13-U13</f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17">
        <f>48210/8</f>
        <v>6026.25</v>
      </c>
      <c r="N14" s="17">
        <f t="shared" ref="N14:T14" si="5">48210/8</f>
        <v>6026.25</v>
      </c>
      <c r="O14" s="17">
        <f t="shared" si="5"/>
        <v>6026.25</v>
      </c>
      <c r="P14" s="17">
        <f t="shared" si="5"/>
        <v>6026.25</v>
      </c>
      <c r="Q14" s="17">
        <f t="shared" si="5"/>
        <v>6026.25</v>
      </c>
      <c r="R14" s="17">
        <f t="shared" si="5"/>
        <v>6026.25</v>
      </c>
      <c r="S14" s="17">
        <f t="shared" si="5"/>
        <v>6026.25</v>
      </c>
      <c r="T14" s="17">
        <f t="shared" si="5"/>
        <v>6026.25</v>
      </c>
      <c r="U14" s="15">
        <f t="shared" si="3"/>
        <v>50000.020000000004</v>
      </c>
      <c r="V14" s="15">
        <f>H14-U14</f>
        <v>-2.0000000004074536E-2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17"/>
      <c r="N15" s="17"/>
      <c r="O15" s="17"/>
      <c r="P15" s="17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21">
        <v>1000</v>
      </c>
      <c r="N16" s="21"/>
      <c r="O16" s="21"/>
      <c r="P16" s="21"/>
      <c r="Q16" s="21"/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21">
        <v>1000</v>
      </c>
      <c r="N17" s="21"/>
      <c r="O17" s="21"/>
      <c r="P17" s="21"/>
      <c r="Q17" s="21"/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21">
        <v>1000</v>
      </c>
      <c r="N18" s="21"/>
      <c r="O18" s="21"/>
      <c r="P18" s="21"/>
      <c r="Q18" s="21"/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505115.53571428574</v>
      </c>
      <c r="N20" s="36">
        <f t="shared" si="6"/>
        <v>502115.53571428574</v>
      </c>
      <c r="O20" s="36">
        <f t="shared" si="6"/>
        <v>32502115.535714287</v>
      </c>
      <c r="P20" s="36">
        <f t="shared" si="6"/>
        <v>502115.53571428574</v>
      </c>
      <c r="Q20" s="36">
        <f t="shared" si="6"/>
        <v>502115.53571428574</v>
      </c>
      <c r="R20" s="36">
        <f t="shared" si="6"/>
        <v>502115.53571428574</v>
      </c>
      <c r="S20" s="36">
        <f t="shared" si="6"/>
        <v>502115.53571428574</v>
      </c>
      <c r="T20" s="37">
        <f t="shared" si="6"/>
        <v>189401.25</v>
      </c>
      <c r="U20" s="23">
        <f t="shared" si="6"/>
        <v>211053928.02000001</v>
      </c>
      <c r="V20" s="23">
        <f t="shared" si="6"/>
        <v>-4000000.02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13"/>
      <c r="N25" s="13"/>
      <c r="O25" s="13">
        <f>4800000/5</f>
        <v>960000</v>
      </c>
      <c r="P25" s="13">
        <f t="shared" ref="P25:S25" si="7">4800000/5</f>
        <v>960000</v>
      </c>
      <c r="Q25" s="13">
        <f t="shared" si="7"/>
        <v>960000</v>
      </c>
      <c r="R25" s="13">
        <f t="shared" si="7"/>
        <v>960000</v>
      </c>
      <c r="S25" s="13">
        <f t="shared" si="7"/>
        <v>960000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13"/>
      <c r="N26" s="13"/>
      <c r="O26" s="13">
        <f>18000000/5</f>
        <v>3600000</v>
      </c>
      <c r="P26" s="13">
        <f t="shared" ref="P26:S26" si="8">18000000/5</f>
        <v>3600000</v>
      </c>
      <c r="Q26" s="13">
        <f t="shared" si="8"/>
        <v>3600000</v>
      </c>
      <c r="R26" s="13">
        <f t="shared" si="8"/>
        <v>3600000</v>
      </c>
      <c r="S26" s="13">
        <f t="shared" si="8"/>
        <v>3600000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17"/>
      <c r="N27" s="17"/>
      <c r="O27" s="17">
        <f>8600000/5</f>
        <v>1720000</v>
      </c>
      <c r="P27" s="17">
        <f t="shared" ref="P27:S27" si="10">8600000/5</f>
        <v>1720000</v>
      </c>
      <c r="Q27" s="17">
        <f t="shared" si="10"/>
        <v>1720000</v>
      </c>
      <c r="R27" s="17">
        <f t="shared" si="10"/>
        <v>1720000</v>
      </c>
      <c r="S27" s="17">
        <f t="shared" si="10"/>
        <v>1720000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ref="H28" si="13">C28+D28-E28+F28-G28</f>
        <v>15000000</v>
      </c>
      <c r="I28" s="45"/>
      <c r="J28" s="48"/>
      <c r="K28" s="48"/>
      <c r="L28" s="48"/>
      <c r="M28" s="17"/>
      <c r="N28" s="17"/>
      <c r="O28" s="17">
        <f>15000000/5</f>
        <v>3000000</v>
      </c>
      <c r="P28" s="17">
        <f t="shared" ref="P28:S28" si="14">15000000/5</f>
        <v>3000000</v>
      </c>
      <c r="Q28" s="17">
        <f t="shared" si="14"/>
        <v>3000000</v>
      </c>
      <c r="R28" s="17">
        <f t="shared" si="14"/>
        <v>3000000</v>
      </c>
      <c r="S28" s="17">
        <f t="shared" si="14"/>
        <v>3000000</v>
      </c>
      <c r="T28" s="41"/>
      <c r="U28" s="15">
        <f t="shared" ref="U28" si="15">SUM(I28:T28)</f>
        <v>15000000</v>
      </c>
      <c r="V28" s="53">
        <f t="shared" ref="V28" si="16">H28-U28</f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17">
        <f>12500000/7</f>
        <v>1785714.2857142857</v>
      </c>
      <c r="N29" s="17">
        <f t="shared" ref="N29:S29" si="17">12500000/7</f>
        <v>1785714.2857142857</v>
      </c>
      <c r="O29" s="17">
        <f t="shared" si="17"/>
        <v>1785714.2857142857</v>
      </c>
      <c r="P29" s="17">
        <f t="shared" si="17"/>
        <v>1785714.2857142857</v>
      </c>
      <c r="Q29" s="17">
        <f t="shared" si="17"/>
        <v>1785714.2857142857</v>
      </c>
      <c r="R29" s="17">
        <f t="shared" si="17"/>
        <v>1785714.2857142857</v>
      </c>
      <c r="S29" s="17">
        <f t="shared" si="17"/>
        <v>1785714.2857142857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17"/>
      <c r="N30" s="17"/>
      <c r="O30" s="17">
        <f>12000000/5</f>
        <v>2400000</v>
      </c>
      <c r="P30" s="17">
        <f t="shared" ref="P30:S30" si="18">12000000/5</f>
        <v>2400000</v>
      </c>
      <c r="Q30" s="17">
        <f t="shared" si="18"/>
        <v>2400000</v>
      </c>
      <c r="R30" s="17">
        <f t="shared" si="18"/>
        <v>2400000</v>
      </c>
      <c r="S30" s="17">
        <f t="shared" si="18"/>
        <v>2400000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17">
        <f>1000/7</f>
        <v>142.85714285714286</v>
      </c>
      <c r="N31" s="17">
        <f t="shared" ref="N31:S31" si="19">1000/7</f>
        <v>142.85714285714286</v>
      </c>
      <c r="O31" s="17">
        <f t="shared" si="19"/>
        <v>142.85714285714286</v>
      </c>
      <c r="P31" s="17">
        <f t="shared" si="19"/>
        <v>142.85714285714286</v>
      </c>
      <c r="Q31" s="17">
        <f t="shared" si="19"/>
        <v>142.85714285714286</v>
      </c>
      <c r="R31" s="17">
        <f t="shared" si="19"/>
        <v>142.85714285714286</v>
      </c>
      <c r="S31" s="17">
        <f t="shared" si="19"/>
        <v>142.85714285714286</v>
      </c>
      <c r="T31" s="41"/>
      <c r="U31" s="15">
        <f t="shared" si="11"/>
        <v>1000.0000000000001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17">
        <f>50000/7</f>
        <v>7142.8571428571431</v>
      </c>
      <c r="N32" s="17">
        <f t="shared" ref="N32:S32" si="20">50000/7</f>
        <v>7142.8571428571431</v>
      </c>
      <c r="O32" s="17">
        <f t="shared" si="20"/>
        <v>7142.8571428571431</v>
      </c>
      <c r="P32" s="17">
        <f t="shared" si="20"/>
        <v>7142.8571428571431</v>
      </c>
      <c r="Q32" s="17">
        <f t="shared" si="20"/>
        <v>7142.8571428571431</v>
      </c>
      <c r="R32" s="17">
        <f t="shared" si="20"/>
        <v>7142.8571428571431</v>
      </c>
      <c r="S32" s="17">
        <f t="shared" si="20"/>
        <v>7142.8571428571431</v>
      </c>
      <c r="T32" s="41"/>
      <c r="U32" s="15">
        <f t="shared" si="11"/>
        <v>50000.000000000007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ref="H33:H34" si="21">C33+D33-E33+F33-G33</f>
        <v>10629373</v>
      </c>
      <c r="I33" s="45"/>
      <c r="J33" s="48"/>
      <c r="K33" s="48"/>
      <c r="L33" s="48"/>
      <c r="M33" s="17">
        <f>10629373/7</f>
        <v>1518481.857142857</v>
      </c>
      <c r="N33" s="17">
        <f t="shared" ref="N33:S33" si="22">10629373/7</f>
        <v>1518481.857142857</v>
      </c>
      <c r="O33" s="17">
        <f t="shared" si="22"/>
        <v>1518481.857142857</v>
      </c>
      <c r="P33" s="17">
        <f t="shared" si="22"/>
        <v>1518481.857142857</v>
      </c>
      <c r="Q33" s="17">
        <f t="shared" si="22"/>
        <v>1518481.857142857</v>
      </c>
      <c r="R33" s="17">
        <f t="shared" si="22"/>
        <v>1518481.857142857</v>
      </c>
      <c r="S33" s="17">
        <f t="shared" si="22"/>
        <v>1518481.857142857</v>
      </c>
      <c r="T33" s="41"/>
      <c r="U33" s="15">
        <f t="shared" ref="U33:U34" si="23">SUM(I33:T33)</f>
        <v>10629372.999999998</v>
      </c>
      <c r="V33" s="53">
        <f t="shared" ref="V33:V34" si="24">H33-U33</f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21"/>
        <v>5348956</v>
      </c>
      <c r="I34" s="45"/>
      <c r="J34" s="48"/>
      <c r="K34" s="48"/>
      <c r="L34" s="48"/>
      <c r="M34" s="17">
        <f>5348956/7</f>
        <v>764136.57142857148</v>
      </c>
      <c r="N34" s="17">
        <f t="shared" ref="N34:S34" si="25">5348956/7</f>
        <v>764136.57142857148</v>
      </c>
      <c r="O34" s="17">
        <f t="shared" si="25"/>
        <v>764136.57142857148</v>
      </c>
      <c r="P34" s="17">
        <f t="shared" si="25"/>
        <v>764136.57142857148</v>
      </c>
      <c r="Q34" s="17">
        <f t="shared" si="25"/>
        <v>764136.57142857148</v>
      </c>
      <c r="R34" s="17">
        <f t="shared" si="25"/>
        <v>764136.57142857148</v>
      </c>
      <c r="S34" s="17">
        <f t="shared" si="25"/>
        <v>764136.57142857148</v>
      </c>
      <c r="T34" s="41"/>
      <c r="U34" s="15">
        <f t="shared" si="23"/>
        <v>5348956.0000000009</v>
      </c>
      <c r="V34" s="53">
        <f t="shared" si="24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17">
        <f>21638005/7</f>
        <v>3091143.5714285714</v>
      </c>
      <c r="N35" s="17">
        <f t="shared" ref="N35:S35" si="26">21638005/7</f>
        <v>3091143.5714285714</v>
      </c>
      <c r="O35" s="17">
        <f t="shared" si="26"/>
        <v>3091143.5714285714</v>
      </c>
      <c r="P35" s="17">
        <f t="shared" si="26"/>
        <v>3091143.5714285714</v>
      </c>
      <c r="Q35" s="17">
        <f t="shared" si="26"/>
        <v>3091143.5714285714</v>
      </c>
      <c r="R35" s="17">
        <f t="shared" si="26"/>
        <v>3091143.5714285714</v>
      </c>
      <c r="S35" s="17">
        <f t="shared" si="26"/>
        <v>3091143.5714285714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17"/>
      <c r="N36" s="17"/>
      <c r="O36" s="17">
        <f>6600000/5</f>
        <v>1320000</v>
      </c>
      <c r="P36" s="17">
        <f t="shared" ref="P36:S36" si="27">6600000/5</f>
        <v>1320000</v>
      </c>
      <c r="Q36" s="17">
        <f t="shared" si="27"/>
        <v>1320000</v>
      </c>
      <c r="R36" s="17">
        <f t="shared" si="27"/>
        <v>1320000</v>
      </c>
      <c r="S36" s="17">
        <f t="shared" si="27"/>
        <v>1320000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17">
        <f>3700000/7</f>
        <v>528571.42857142852</v>
      </c>
      <c r="N37" s="17">
        <f t="shared" ref="N37:S37" si="28">3700000/7</f>
        <v>528571.42857142852</v>
      </c>
      <c r="O37" s="17">
        <f t="shared" si="28"/>
        <v>528571.42857142852</v>
      </c>
      <c r="P37" s="17">
        <f t="shared" si="28"/>
        <v>528571.42857142852</v>
      </c>
      <c r="Q37" s="17">
        <f t="shared" si="28"/>
        <v>528571.42857142852</v>
      </c>
      <c r="R37" s="17">
        <f t="shared" si="28"/>
        <v>528571.42857142852</v>
      </c>
      <c r="S37" s="17">
        <f t="shared" si="28"/>
        <v>528571.42857142852</v>
      </c>
      <c r="T37" s="41"/>
      <c r="U37" s="15">
        <f t="shared" si="11"/>
        <v>3700000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17">
        <f>4111271/7</f>
        <v>587324.42857142852</v>
      </c>
      <c r="N38" s="17">
        <f t="shared" ref="N38:S38" si="29">4111271/7</f>
        <v>587324.42857142852</v>
      </c>
      <c r="O38" s="17">
        <f t="shared" si="29"/>
        <v>587324.42857142852</v>
      </c>
      <c r="P38" s="17">
        <f t="shared" si="29"/>
        <v>587324.42857142852</v>
      </c>
      <c r="Q38" s="17">
        <f t="shared" si="29"/>
        <v>587324.42857142852</v>
      </c>
      <c r="R38" s="17">
        <f t="shared" si="29"/>
        <v>587324.42857142852</v>
      </c>
      <c r="S38" s="17">
        <f t="shared" si="29"/>
        <v>587324.42857142852</v>
      </c>
      <c r="T38" s="41"/>
      <c r="U38" s="15">
        <f t="shared" si="11"/>
        <v>4111271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ref="H39" si="30">C39+D39-E39+F39-G39</f>
        <v>5000000</v>
      </c>
      <c r="I39" s="45"/>
      <c r="J39" s="48"/>
      <c r="K39" s="48"/>
      <c r="L39" s="48"/>
      <c r="M39" s="17">
        <f>5000000/7</f>
        <v>714285.71428571432</v>
      </c>
      <c r="N39" s="17">
        <f t="shared" ref="N39:S39" si="31">5000000/7</f>
        <v>714285.71428571432</v>
      </c>
      <c r="O39" s="17">
        <f t="shared" si="31"/>
        <v>714285.71428571432</v>
      </c>
      <c r="P39" s="17">
        <f t="shared" si="31"/>
        <v>714285.71428571432</v>
      </c>
      <c r="Q39" s="17">
        <f t="shared" si="31"/>
        <v>714285.71428571432</v>
      </c>
      <c r="R39" s="17">
        <f t="shared" si="31"/>
        <v>714285.71428571432</v>
      </c>
      <c r="S39" s="17">
        <f t="shared" si="31"/>
        <v>714285.71428571432</v>
      </c>
      <c r="T39" s="17"/>
      <c r="U39" s="15">
        <f t="shared" ref="U39" si="32">SUM(I39:T39)</f>
        <v>5000000.0000000009</v>
      </c>
      <c r="V39" s="53">
        <f t="shared" ref="V39" si="33">H39-U39</f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17">
        <f>909641/8</f>
        <v>113705.125</v>
      </c>
      <c r="N40" s="17">
        <f t="shared" ref="N40:S40" si="34">909641/8</f>
        <v>113705.125</v>
      </c>
      <c r="O40" s="17">
        <f t="shared" si="34"/>
        <v>113705.125</v>
      </c>
      <c r="P40" s="17">
        <f t="shared" si="34"/>
        <v>113705.125</v>
      </c>
      <c r="Q40" s="17">
        <f t="shared" si="34"/>
        <v>113705.125</v>
      </c>
      <c r="R40" s="17">
        <f t="shared" si="34"/>
        <v>113705.125</v>
      </c>
      <c r="S40" s="17">
        <f t="shared" si="34"/>
        <v>113705.125</v>
      </c>
      <c r="T40" s="17">
        <f>909641/8</f>
        <v>113705.125</v>
      </c>
      <c r="U40" s="15">
        <f t="shared" si="11"/>
        <v>1499999.53</v>
      </c>
      <c r="V40" s="53">
        <f t="shared" si="12"/>
        <v>0.46999999997206032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17">
        <f>294734/8</f>
        <v>36841.75</v>
      </c>
      <c r="N41" s="17">
        <f t="shared" ref="N41:T41" si="35">294734/8</f>
        <v>36841.75</v>
      </c>
      <c r="O41" s="17">
        <f t="shared" si="35"/>
        <v>36841.75</v>
      </c>
      <c r="P41" s="17">
        <f t="shared" si="35"/>
        <v>36841.75</v>
      </c>
      <c r="Q41" s="17">
        <f t="shared" si="35"/>
        <v>36841.75</v>
      </c>
      <c r="R41" s="17">
        <f t="shared" si="35"/>
        <v>36841.75</v>
      </c>
      <c r="S41" s="17">
        <f t="shared" si="35"/>
        <v>36841.75</v>
      </c>
      <c r="T41" s="17">
        <f t="shared" si="35"/>
        <v>36841.75</v>
      </c>
      <c r="U41" s="15">
        <f t="shared" si="11"/>
        <v>314964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17">
        <f>5500000/7</f>
        <v>785714.28571428568</v>
      </c>
      <c r="N42" s="17">
        <f t="shared" ref="N42:S42" si="36">5500000/7</f>
        <v>785714.28571428568</v>
      </c>
      <c r="O42" s="17">
        <f t="shared" si="36"/>
        <v>785714.28571428568</v>
      </c>
      <c r="P42" s="17">
        <f t="shared" si="36"/>
        <v>785714.28571428568</v>
      </c>
      <c r="Q42" s="17">
        <f t="shared" si="36"/>
        <v>785714.28571428568</v>
      </c>
      <c r="R42" s="17">
        <f t="shared" si="36"/>
        <v>785714.28571428568</v>
      </c>
      <c r="S42" s="17">
        <f t="shared" si="36"/>
        <v>785714.28571428568</v>
      </c>
      <c r="T42" s="41"/>
      <c r="U42" s="15">
        <f t="shared" si="11"/>
        <v>5499999.9999999991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17">
        <f>29000000/7</f>
        <v>4142857.1428571427</v>
      </c>
      <c r="N43" s="17">
        <f t="shared" ref="N43:S43" si="37">29000000/7</f>
        <v>4142857.1428571427</v>
      </c>
      <c r="O43" s="17">
        <f t="shared" si="37"/>
        <v>4142857.1428571427</v>
      </c>
      <c r="P43" s="17">
        <f t="shared" si="37"/>
        <v>4142857.1428571427</v>
      </c>
      <c r="Q43" s="17">
        <f t="shared" si="37"/>
        <v>4142857.1428571427</v>
      </c>
      <c r="R43" s="17">
        <f t="shared" si="37"/>
        <v>4142857.1428571427</v>
      </c>
      <c r="S43" s="17">
        <f t="shared" si="37"/>
        <v>4142857.1428571427</v>
      </c>
      <c r="T43" s="41"/>
      <c r="U43" s="15">
        <f t="shared" si="11"/>
        <v>28999999.999999996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17"/>
      <c r="N44" s="17"/>
      <c r="O44" s="17"/>
      <c r="P44" s="17"/>
      <c r="Q44" s="17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17">
        <f>1900000/7</f>
        <v>271428.57142857142</v>
      </c>
      <c r="N45" s="17">
        <f t="shared" ref="N45:S45" si="38">1900000/7</f>
        <v>271428.57142857142</v>
      </c>
      <c r="O45" s="17">
        <f t="shared" si="38"/>
        <v>271428.57142857142</v>
      </c>
      <c r="P45" s="17">
        <f t="shared" si="38"/>
        <v>271428.57142857142</v>
      </c>
      <c r="Q45" s="17">
        <f t="shared" si="38"/>
        <v>271428.57142857142</v>
      </c>
      <c r="R45" s="17">
        <f t="shared" si="38"/>
        <v>271428.57142857142</v>
      </c>
      <c r="S45" s="17">
        <f t="shared" si="38"/>
        <v>271428.57142857142</v>
      </c>
      <c r="T45" s="41"/>
      <c r="U45" s="15">
        <f t="shared" si="11"/>
        <v>1899999.9999999998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17">
        <f>16000000/7</f>
        <v>2285714.2857142859</v>
      </c>
      <c r="N46" s="17">
        <f t="shared" ref="N46:S46" si="39">16000000/7</f>
        <v>2285714.2857142859</v>
      </c>
      <c r="O46" s="17">
        <f t="shared" si="39"/>
        <v>2285714.2857142859</v>
      </c>
      <c r="P46" s="17">
        <f t="shared" si="39"/>
        <v>2285714.2857142859</v>
      </c>
      <c r="Q46" s="17">
        <f t="shared" si="39"/>
        <v>2285714.2857142859</v>
      </c>
      <c r="R46" s="17">
        <f t="shared" si="39"/>
        <v>2285714.2857142859</v>
      </c>
      <c r="S46" s="17">
        <f t="shared" si="39"/>
        <v>2285714.2857142859</v>
      </c>
      <c r="T46" s="41"/>
      <c r="U46" s="15">
        <f t="shared" si="11"/>
        <v>16000000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17">
        <f>6600000/7</f>
        <v>942857.14285714284</v>
      </c>
      <c r="N47" s="17">
        <f t="shared" ref="N47:S47" si="40">6600000/7</f>
        <v>942857.14285714284</v>
      </c>
      <c r="O47" s="17">
        <f t="shared" si="40"/>
        <v>942857.14285714284</v>
      </c>
      <c r="P47" s="17">
        <f t="shared" si="40"/>
        <v>942857.14285714284</v>
      </c>
      <c r="Q47" s="17">
        <f t="shared" si="40"/>
        <v>942857.14285714284</v>
      </c>
      <c r="R47" s="17">
        <f t="shared" si="40"/>
        <v>942857.14285714284</v>
      </c>
      <c r="S47" s="17">
        <f t="shared" si="40"/>
        <v>942857.14285714284</v>
      </c>
      <c r="T47" s="41"/>
      <c r="U47" s="15">
        <f t="shared" si="11"/>
        <v>6600000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17">
        <f>2800000/7</f>
        <v>400000</v>
      </c>
      <c r="N48" s="17">
        <f t="shared" ref="N48:S48" si="41">2800000/7</f>
        <v>400000</v>
      </c>
      <c r="O48" s="17">
        <f t="shared" si="41"/>
        <v>400000</v>
      </c>
      <c r="P48" s="17">
        <f t="shared" si="41"/>
        <v>400000</v>
      </c>
      <c r="Q48" s="17">
        <f t="shared" si="41"/>
        <v>400000</v>
      </c>
      <c r="R48" s="17">
        <f t="shared" si="41"/>
        <v>400000</v>
      </c>
      <c r="S48" s="17">
        <f t="shared" si="41"/>
        <v>400000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17">
        <f>3700000/8</f>
        <v>462500</v>
      </c>
      <c r="N49" s="17">
        <f t="shared" ref="N49:T49" si="42">3700000/8</f>
        <v>462500</v>
      </c>
      <c r="O49" s="17">
        <f t="shared" si="42"/>
        <v>462500</v>
      </c>
      <c r="P49" s="17">
        <f t="shared" si="42"/>
        <v>462500</v>
      </c>
      <c r="Q49" s="17">
        <f t="shared" si="42"/>
        <v>462500</v>
      </c>
      <c r="R49" s="17">
        <f t="shared" si="42"/>
        <v>462500</v>
      </c>
      <c r="S49" s="17">
        <f t="shared" si="42"/>
        <v>462500</v>
      </c>
      <c r="T49" s="17">
        <f t="shared" si="42"/>
        <v>462500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17">
        <f>2449873/8</f>
        <v>306234.125</v>
      </c>
      <c r="N50" s="17">
        <f t="shared" ref="N50:T50" si="43">2449873/8</f>
        <v>306234.125</v>
      </c>
      <c r="O50" s="17">
        <f t="shared" si="43"/>
        <v>306234.125</v>
      </c>
      <c r="P50" s="17">
        <f t="shared" si="43"/>
        <v>306234.125</v>
      </c>
      <c r="Q50" s="17">
        <f t="shared" si="43"/>
        <v>306234.125</v>
      </c>
      <c r="R50" s="17">
        <f t="shared" si="43"/>
        <v>306234.125</v>
      </c>
      <c r="S50" s="17">
        <f t="shared" si="43"/>
        <v>306234.125</v>
      </c>
      <c r="T50" s="17">
        <f t="shared" si="43"/>
        <v>306234.125</v>
      </c>
      <c r="U50" s="15">
        <f t="shared" si="11"/>
        <v>3700000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17">
        <f>300000/8</f>
        <v>37500</v>
      </c>
      <c r="N51" s="17">
        <f t="shared" ref="N51:T51" si="44">300000/8</f>
        <v>37500</v>
      </c>
      <c r="O51" s="17">
        <f t="shared" si="44"/>
        <v>37500</v>
      </c>
      <c r="P51" s="17">
        <f t="shared" si="44"/>
        <v>37500</v>
      </c>
      <c r="Q51" s="17">
        <f t="shared" si="44"/>
        <v>37500</v>
      </c>
      <c r="R51" s="17">
        <f t="shared" si="44"/>
        <v>37500</v>
      </c>
      <c r="S51" s="17">
        <f t="shared" si="44"/>
        <v>37500</v>
      </c>
      <c r="T51" s="17">
        <f t="shared" si="44"/>
        <v>37500</v>
      </c>
      <c r="U51" s="15">
        <f t="shared" si="11"/>
        <v>300000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17">
        <f>552900/8</f>
        <v>69112.5</v>
      </c>
      <c r="N52" s="17">
        <f t="shared" ref="N52:T52" si="45">552900/8</f>
        <v>69112.5</v>
      </c>
      <c r="O52" s="17">
        <f t="shared" si="45"/>
        <v>69112.5</v>
      </c>
      <c r="P52" s="17">
        <f t="shared" si="45"/>
        <v>69112.5</v>
      </c>
      <c r="Q52" s="17">
        <f t="shared" si="45"/>
        <v>69112.5</v>
      </c>
      <c r="R52" s="17">
        <f t="shared" si="45"/>
        <v>69112.5</v>
      </c>
      <c r="S52" s="17">
        <f t="shared" si="45"/>
        <v>69112.5</v>
      </c>
      <c r="T52" s="17">
        <f t="shared" si="45"/>
        <v>69112.5</v>
      </c>
      <c r="U52" s="15">
        <f t="shared" si="11"/>
        <v>959359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ref="H53" si="46">C53+D53-E53+F53-G53</f>
        <v>2000000</v>
      </c>
      <c r="I53" s="45"/>
      <c r="J53" s="48"/>
      <c r="K53" s="48"/>
      <c r="L53" s="48"/>
      <c r="M53" s="17">
        <f>2000000/7</f>
        <v>285714.28571428574</v>
      </c>
      <c r="N53" s="17">
        <f t="shared" ref="N53:S53" si="47">2000000/7</f>
        <v>285714.28571428574</v>
      </c>
      <c r="O53" s="17">
        <f t="shared" si="47"/>
        <v>285714.28571428574</v>
      </c>
      <c r="P53" s="17">
        <f t="shared" si="47"/>
        <v>285714.28571428574</v>
      </c>
      <c r="Q53" s="17">
        <f t="shared" si="47"/>
        <v>285714.28571428574</v>
      </c>
      <c r="R53" s="17">
        <f t="shared" si="47"/>
        <v>285714.28571428574</v>
      </c>
      <c r="S53" s="17">
        <f t="shared" si="47"/>
        <v>285714.28571428574</v>
      </c>
      <c r="T53" s="17"/>
      <c r="U53" s="15">
        <f t="shared" ref="U53" si="48">SUM(I53:T53)</f>
        <v>2000000</v>
      </c>
      <c r="V53" s="53">
        <f t="shared" ref="V53" si="49">H53-U53</f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17">
        <f>1000/8</f>
        <v>125</v>
      </c>
      <c r="N54" s="17">
        <f t="shared" ref="N54:T54" si="50">1000/8</f>
        <v>125</v>
      </c>
      <c r="O54" s="17">
        <f t="shared" si="50"/>
        <v>125</v>
      </c>
      <c r="P54" s="17">
        <f t="shared" si="50"/>
        <v>125</v>
      </c>
      <c r="Q54" s="17">
        <f t="shared" si="50"/>
        <v>125</v>
      </c>
      <c r="R54" s="17">
        <f t="shared" si="50"/>
        <v>125</v>
      </c>
      <c r="S54" s="17">
        <f t="shared" si="50"/>
        <v>125</v>
      </c>
      <c r="T54" s="17">
        <f t="shared" si="50"/>
        <v>125</v>
      </c>
      <c r="U54" s="11">
        <f t="shared" si="11"/>
        <v>1000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51">SUM(C25:C55)</f>
        <v>129053000</v>
      </c>
      <c r="D56" s="24">
        <f t="shared" si="51"/>
        <v>78000928</v>
      </c>
      <c r="E56" s="25">
        <f t="shared" si="51"/>
        <v>0</v>
      </c>
      <c r="F56" s="25">
        <f t="shared" si="51"/>
        <v>0</v>
      </c>
      <c r="G56" s="26">
        <f t="shared" si="51"/>
        <v>0</v>
      </c>
      <c r="H56" s="23">
        <f t="shared" si="51"/>
        <v>207053928</v>
      </c>
      <c r="I56" s="35">
        <f t="shared" si="51"/>
        <v>726807</v>
      </c>
      <c r="J56" s="36">
        <f t="shared" si="51"/>
        <v>532166</v>
      </c>
      <c r="K56" s="36">
        <f t="shared" si="51"/>
        <v>2997485.53</v>
      </c>
      <c r="L56" s="36">
        <f t="shared" si="51"/>
        <v>2810716</v>
      </c>
      <c r="M56" s="36">
        <f t="shared" si="51"/>
        <v>19137247.785714287</v>
      </c>
      <c r="N56" s="36">
        <f t="shared" si="51"/>
        <v>19137247.785714287</v>
      </c>
      <c r="O56" s="36">
        <f t="shared" si="51"/>
        <v>32137247.785714284</v>
      </c>
      <c r="P56" s="36">
        <f t="shared" si="51"/>
        <v>32137247.785714284</v>
      </c>
      <c r="Q56" s="36">
        <f t="shared" si="51"/>
        <v>32137247.785714284</v>
      </c>
      <c r="R56" s="36">
        <f t="shared" si="51"/>
        <v>32137247.785714284</v>
      </c>
      <c r="S56" s="36">
        <f t="shared" si="51"/>
        <v>32137247.785714284</v>
      </c>
      <c r="T56" s="57">
        <f t="shared" si="51"/>
        <v>1026018.5</v>
      </c>
      <c r="U56" s="23">
        <f t="shared" si="51"/>
        <v>207053927.53</v>
      </c>
      <c r="V56" s="58">
        <f t="shared" si="51"/>
        <v>0.46999999997206032</v>
      </c>
    </row>
    <row r="60" spans="1:22" x14ac:dyDescent="0.25">
      <c r="B60" s="102" t="s">
        <v>116</v>
      </c>
    </row>
    <row r="61" spans="1:22" x14ac:dyDescent="0.25">
      <c r="B61" s="1" t="s">
        <v>117</v>
      </c>
    </row>
    <row r="63" spans="1:22" ht="22.5" x14ac:dyDescent="0.25">
      <c r="A63" s="102" t="s">
        <v>123</v>
      </c>
      <c r="B63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49" zoomScale="97" zoomScaleNormal="97" workbookViewId="0">
      <selection activeCell="A60" sqref="A60:B64"/>
    </sheetView>
  </sheetViews>
  <sheetFormatPr baseColWidth="10" defaultColWidth="11.42578125" defaultRowHeight="12.75" x14ac:dyDescent="0.25"/>
  <cols>
    <col min="1" max="1" width="18.140625" style="1" customWidth="1"/>
    <col min="2" max="2" width="34.7109375" style="1" customWidth="1"/>
    <col min="3" max="3" width="15.5703125" style="1" customWidth="1"/>
    <col min="4" max="4" width="10.7109375" style="1" customWidth="1"/>
    <col min="5" max="6" width="3.7109375" style="1" customWidth="1"/>
    <col min="7" max="7" width="5" style="1" customWidth="1"/>
    <col min="8" max="8" width="15.140625" style="1" customWidth="1"/>
    <col min="9" max="9" width="11.85546875" style="1" customWidth="1"/>
    <col min="10" max="10" width="10.28515625" style="1" customWidth="1"/>
    <col min="11" max="11" width="11.7109375" style="1" customWidth="1"/>
    <col min="12" max="12" width="9.7109375" style="1" customWidth="1"/>
    <col min="13" max="19" width="10.7109375" style="1" customWidth="1"/>
    <col min="20" max="20" width="9.85546875" style="1" customWidth="1"/>
    <col min="21" max="21" width="13" style="1" customWidth="1"/>
    <col min="22" max="22" width="10.85546875" style="1" customWidth="1"/>
    <col min="23" max="23" width="11.5703125" style="1" bestFit="1" customWidth="1"/>
    <col min="24" max="16384" width="11.42578125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29">
        <f>1376000/7</f>
        <v>196571.42857142858</v>
      </c>
      <c r="O8" s="29">
        <f t="shared" ref="O8:T8" si="0">1376000/7</f>
        <v>196571.42857142858</v>
      </c>
      <c r="P8" s="29">
        <f t="shared" si="0"/>
        <v>196571.42857142858</v>
      </c>
      <c r="Q8" s="29">
        <f t="shared" si="0"/>
        <v>196571.42857142858</v>
      </c>
      <c r="R8" s="29">
        <f t="shared" si="0"/>
        <v>196571.42857142858</v>
      </c>
      <c r="S8" s="29">
        <f t="shared" si="0"/>
        <v>196571.42857142858</v>
      </c>
      <c r="T8" s="29">
        <f t="shared" si="0"/>
        <v>196571.42857142858</v>
      </c>
      <c r="U8" s="11">
        <f>SUM(I8:T8)</f>
        <v>2500000.0000000005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17">
        <f>1529000/6</f>
        <v>254833.33333333334</v>
      </c>
      <c r="O9" s="17">
        <f t="shared" ref="O9:S9" si="2">1529000/6</f>
        <v>254833.33333333334</v>
      </c>
      <c r="P9" s="17">
        <f t="shared" si="2"/>
        <v>254833.33333333334</v>
      </c>
      <c r="Q9" s="17">
        <f t="shared" si="2"/>
        <v>254833.33333333334</v>
      </c>
      <c r="R9" s="17">
        <f t="shared" si="2"/>
        <v>254833.33333333334</v>
      </c>
      <c r="S9" s="17">
        <f t="shared" si="2"/>
        <v>254833.33333333334</v>
      </c>
      <c r="T9" s="17"/>
      <c r="U9" s="15">
        <f t="shared" ref="U9:U19" si="3">SUM(I9:T9)</f>
        <v>5499999.9999999981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48"/>
      <c r="N10" s="17"/>
      <c r="O10" s="17"/>
      <c r="P10" s="17"/>
      <c r="Q10" s="17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48"/>
      <c r="N11" s="17"/>
      <c r="O11" s="17"/>
      <c r="P11" s="17"/>
      <c r="Q11" s="17"/>
      <c r="R11" s="17"/>
      <c r="S11" s="17"/>
      <c r="T11" s="18"/>
      <c r="U11" s="15">
        <f>SUM(I11:T11)</f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48"/>
      <c r="N12" s="17"/>
      <c r="O12" s="17"/>
      <c r="P12" s="17"/>
      <c r="Q12" s="17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48"/>
      <c r="N13" s="17"/>
      <c r="O13" s="17">
        <v>32000000</v>
      </c>
      <c r="P13" s="17"/>
      <c r="Q13" s="17"/>
      <c r="R13" s="17"/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17">
        <f>46787/7</f>
        <v>6683.8571428571431</v>
      </c>
      <c r="O14" s="17">
        <f t="shared" ref="O14:S14" si="5">46787/7</f>
        <v>6683.8571428571431</v>
      </c>
      <c r="P14" s="17">
        <f t="shared" si="5"/>
        <v>6683.8571428571431</v>
      </c>
      <c r="Q14" s="17">
        <f t="shared" si="5"/>
        <v>6683.8571428571431</v>
      </c>
      <c r="R14" s="17">
        <f t="shared" si="5"/>
        <v>6683.8571428571431</v>
      </c>
      <c r="S14" s="17">
        <f t="shared" si="5"/>
        <v>6683.8571428571431</v>
      </c>
      <c r="T14" s="17">
        <f>46787/7</f>
        <v>6683.8571428571431</v>
      </c>
      <c r="U14" s="15">
        <f t="shared" si="3"/>
        <v>50000.240000000013</v>
      </c>
      <c r="V14" s="15">
        <f t="shared" si="4"/>
        <v>-0.24000000001251465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48"/>
      <c r="N15" s="17"/>
      <c r="O15" s="17"/>
      <c r="P15" s="17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49"/>
      <c r="N16" s="21">
        <v>1000</v>
      </c>
      <c r="O16" s="21"/>
      <c r="P16" s="21"/>
      <c r="Q16" s="21"/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49"/>
      <c r="N17" s="21">
        <v>1000</v>
      </c>
      <c r="O17" s="21"/>
      <c r="P17" s="21"/>
      <c r="Q17" s="21"/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49"/>
      <c r="N18" s="21">
        <v>1000</v>
      </c>
      <c r="O18" s="21"/>
      <c r="P18" s="21"/>
      <c r="Q18" s="21"/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59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752423.22</v>
      </c>
      <c r="N20" s="36">
        <f t="shared" si="6"/>
        <v>461088.61904761905</v>
      </c>
      <c r="O20" s="36">
        <f t="shared" si="6"/>
        <v>32458088.619047619</v>
      </c>
      <c r="P20" s="36">
        <f t="shared" si="6"/>
        <v>458088.61904761905</v>
      </c>
      <c r="Q20" s="36">
        <f t="shared" si="6"/>
        <v>458088.61904761905</v>
      </c>
      <c r="R20" s="36">
        <f t="shared" si="6"/>
        <v>458088.61904761905</v>
      </c>
      <c r="S20" s="36">
        <f t="shared" si="6"/>
        <v>458088.61904761905</v>
      </c>
      <c r="T20" s="37">
        <f t="shared" si="6"/>
        <v>203255.28571428571</v>
      </c>
      <c r="U20" s="23">
        <f t="shared" si="6"/>
        <v>211053928.24000001</v>
      </c>
      <c r="V20" s="23">
        <f t="shared" si="6"/>
        <v>-4000000.24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13"/>
      <c r="O25" s="13">
        <f>4800000/5</f>
        <v>960000</v>
      </c>
      <c r="P25" s="13">
        <f t="shared" ref="P25:S25" si="7">4800000/5</f>
        <v>960000</v>
      </c>
      <c r="Q25" s="13">
        <f t="shared" si="7"/>
        <v>960000</v>
      </c>
      <c r="R25" s="13">
        <f t="shared" si="7"/>
        <v>960000</v>
      </c>
      <c r="S25" s="13">
        <f t="shared" si="7"/>
        <v>960000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13"/>
      <c r="O26" s="13">
        <f>18000000/5</f>
        <v>3600000</v>
      </c>
      <c r="P26" s="13">
        <f t="shared" ref="P26:S26" si="8">18000000/5</f>
        <v>3600000</v>
      </c>
      <c r="Q26" s="13">
        <f t="shared" si="8"/>
        <v>3600000</v>
      </c>
      <c r="R26" s="13">
        <f t="shared" si="8"/>
        <v>3600000</v>
      </c>
      <c r="S26" s="13">
        <f t="shared" si="8"/>
        <v>3600000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48"/>
      <c r="N27" s="17"/>
      <c r="O27" s="17">
        <f>8600000/5</f>
        <v>1720000</v>
      </c>
      <c r="P27" s="17">
        <f t="shared" ref="P27:S27" si="10">8600000/5</f>
        <v>1720000</v>
      </c>
      <c r="Q27" s="17">
        <f t="shared" si="10"/>
        <v>1720000</v>
      </c>
      <c r="R27" s="17">
        <f t="shared" si="10"/>
        <v>1720000</v>
      </c>
      <c r="S27" s="17">
        <f t="shared" si="10"/>
        <v>1720000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9"/>
        <v>15000000</v>
      </c>
      <c r="I28" s="45"/>
      <c r="J28" s="48"/>
      <c r="K28" s="48"/>
      <c r="L28" s="48"/>
      <c r="M28" s="48"/>
      <c r="N28" s="17"/>
      <c r="O28" s="17">
        <f>15000000/5</f>
        <v>3000000</v>
      </c>
      <c r="P28" s="17">
        <f t="shared" ref="P28:S28" si="13">15000000/5</f>
        <v>3000000</v>
      </c>
      <c r="Q28" s="17">
        <f t="shared" si="13"/>
        <v>3000000</v>
      </c>
      <c r="R28" s="17">
        <f t="shared" si="13"/>
        <v>3000000</v>
      </c>
      <c r="S28" s="17">
        <f t="shared" si="13"/>
        <v>3000000</v>
      </c>
      <c r="T28" s="41"/>
      <c r="U28" s="15">
        <f t="shared" si="11"/>
        <v>15000000</v>
      </c>
      <c r="V28" s="53">
        <f t="shared" si="12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48"/>
      <c r="N29" s="17">
        <f>12500000/6</f>
        <v>2083333.3333333333</v>
      </c>
      <c r="O29" s="17">
        <f t="shared" ref="O29:S29" si="14">12500000/6</f>
        <v>2083333.3333333333</v>
      </c>
      <c r="P29" s="17">
        <f t="shared" si="14"/>
        <v>2083333.3333333333</v>
      </c>
      <c r="Q29" s="17">
        <f t="shared" si="14"/>
        <v>2083333.3333333333</v>
      </c>
      <c r="R29" s="17">
        <f t="shared" si="14"/>
        <v>2083333.3333333333</v>
      </c>
      <c r="S29" s="17">
        <f t="shared" si="14"/>
        <v>2083333.3333333333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48"/>
      <c r="N30" s="17"/>
      <c r="O30" s="17">
        <f>12000000/5</f>
        <v>2400000</v>
      </c>
      <c r="P30" s="17">
        <f t="shared" ref="P30:S30" si="15">12000000/5</f>
        <v>2400000</v>
      </c>
      <c r="Q30" s="17">
        <f t="shared" si="15"/>
        <v>2400000</v>
      </c>
      <c r="R30" s="17">
        <f t="shared" si="15"/>
        <v>2400000</v>
      </c>
      <c r="S30" s="17">
        <f t="shared" si="15"/>
        <v>2400000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48"/>
      <c r="N31" s="17">
        <f>1000/6</f>
        <v>166.66666666666666</v>
      </c>
      <c r="O31" s="17">
        <f t="shared" ref="O31:S31" si="16">1000/6</f>
        <v>166.66666666666666</v>
      </c>
      <c r="P31" s="17">
        <f t="shared" si="16"/>
        <v>166.66666666666666</v>
      </c>
      <c r="Q31" s="17">
        <f t="shared" si="16"/>
        <v>166.66666666666666</v>
      </c>
      <c r="R31" s="17">
        <f t="shared" si="16"/>
        <v>166.66666666666666</v>
      </c>
      <c r="S31" s="17">
        <f t="shared" si="16"/>
        <v>166.66666666666666</v>
      </c>
      <c r="T31" s="41"/>
      <c r="U31" s="15">
        <f t="shared" si="11"/>
        <v>999.99999999999989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48"/>
      <c r="N32" s="17">
        <f>50000/6</f>
        <v>8333.3333333333339</v>
      </c>
      <c r="O32" s="17">
        <f t="shared" ref="O32:S32" si="17">50000/6</f>
        <v>8333.3333333333339</v>
      </c>
      <c r="P32" s="17">
        <f t="shared" si="17"/>
        <v>8333.3333333333339</v>
      </c>
      <c r="Q32" s="17">
        <f t="shared" si="17"/>
        <v>8333.3333333333339</v>
      </c>
      <c r="R32" s="17">
        <f t="shared" si="17"/>
        <v>8333.3333333333339</v>
      </c>
      <c r="S32" s="17">
        <f t="shared" si="17"/>
        <v>8333.3333333333339</v>
      </c>
      <c r="T32" s="41"/>
      <c r="U32" s="15">
        <f t="shared" si="11"/>
        <v>50000.000000000007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9"/>
        <v>10629373</v>
      </c>
      <c r="I33" s="45"/>
      <c r="J33" s="48"/>
      <c r="K33" s="48"/>
      <c r="L33" s="48"/>
      <c r="M33" s="48"/>
      <c r="N33" s="17">
        <f>10629373/6</f>
        <v>1771562.1666666667</v>
      </c>
      <c r="O33" s="17">
        <f t="shared" ref="O33:S33" si="18">10629373/6</f>
        <v>1771562.1666666667</v>
      </c>
      <c r="P33" s="17">
        <f t="shared" si="18"/>
        <v>1771562.1666666667</v>
      </c>
      <c r="Q33" s="17">
        <f t="shared" si="18"/>
        <v>1771562.1666666667</v>
      </c>
      <c r="R33" s="17">
        <f t="shared" si="18"/>
        <v>1771562.1666666667</v>
      </c>
      <c r="S33" s="17">
        <f t="shared" si="18"/>
        <v>1771562.1666666667</v>
      </c>
      <c r="T33" s="41"/>
      <c r="U33" s="15">
        <f t="shared" si="11"/>
        <v>10629373</v>
      </c>
      <c r="V33" s="53">
        <f t="shared" si="12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9"/>
        <v>5348956</v>
      </c>
      <c r="I34" s="45"/>
      <c r="J34" s="48"/>
      <c r="K34" s="48"/>
      <c r="L34" s="48"/>
      <c r="M34" s="48"/>
      <c r="N34" s="17">
        <f>5348956/6</f>
        <v>891492.66666666663</v>
      </c>
      <c r="O34" s="17">
        <f t="shared" ref="O34:S34" si="19">5348956/6</f>
        <v>891492.66666666663</v>
      </c>
      <c r="P34" s="17">
        <f t="shared" si="19"/>
        <v>891492.66666666663</v>
      </c>
      <c r="Q34" s="17">
        <f t="shared" si="19"/>
        <v>891492.66666666663</v>
      </c>
      <c r="R34" s="17">
        <f t="shared" si="19"/>
        <v>891492.66666666663</v>
      </c>
      <c r="S34" s="17">
        <f t="shared" si="19"/>
        <v>891492.66666666663</v>
      </c>
      <c r="T34" s="41"/>
      <c r="U34" s="15">
        <f t="shared" si="11"/>
        <v>5348956</v>
      </c>
      <c r="V34" s="53">
        <f t="shared" si="12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48"/>
      <c r="N35" s="17">
        <f>21638005/6</f>
        <v>3606334.1666666665</v>
      </c>
      <c r="O35" s="17">
        <f t="shared" ref="O35:S35" si="20">21638005/6</f>
        <v>3606334.1666666665</v>
      </c>
      <c r="P35" s="17">
        <f t="shared" si="20"/>
        <v>3606334.1666666665</v>
      </c>
      <c r="Q35" s="17">
        <f t="shared" si="20"/>
        <v>3606334.1666666665</v>
      </c>
      <c r="R35" s="17">
        <f t="shared" si="20"/>
        <v>3606334.1666666665</v>
      </c>
      <c r="S35" s="17">
        <f t="shared" si="20"/>
        <v>3606334.1666666665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48"/>
      <c r="N36" s="17"/>
      <c r="O36" s="17">
        <f>6600000/5</f>
        <v>1320000</v>
      </c>
      <c r="P36" s="17">
        <f t="shared" ref="P36:S36" si="21">6600000/5</f>
        <v>1320000</v>
      </c>
      <c r="Q36" s="17">
        <f t="shared" si="21"/>
        <v>1320000</v>
      </c>
      <c r="R36" s="17">
        <f t="shared" si="21"/>
        <v>1320000</v>
      </c>
      <c r="S36" s="17">
        <f t="shared" si="21"/>
        <v>1320000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48"/>
      <c r="N37" s="17">
        <f>3700000/6</f>
        <v>616666.66666666663</v>
      </c>
      <c r="O37" s="17">
        <f t="shared" ref="O37:S37" si="22">3700000/6</f>
        <v>616666.66666666663</v>
      </c>
      <c r="P37" s="17">
        <f t="shared" si="22"/>
        <v>616666.66666666663</v>
      </c>
      <c r="Q37" s="17">
        <f t="shared" si="22"/>
        <v>616666.66666666663</v>
      </c>
      <c r="R37" s="17">
        <f t="shared" si="22"/>
        <v>616666.66666666663</v>
      </c>
      <c r="S37" s="17">
        <f t="shared" si="22"/>
        <v>616666.66666666663</v>
      </c>
      <c r="T37" s="41"/>
      <c r="U37" s="15">
        <f t="shared" si="11"/>
        <v>3699999.9999999995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48"/>
      <c r="N38" s="17">
        <f>4111271/6</f>
        <v>685211.83333333337</v>
      </c>
      <c r="O38" s="17">
        <f t="shared" ref="O38:S38" si="23">4111271/6</f>
        <v>685211.83333333337</v>
      </c>
      <c r="P38" s="17">
        <f t="shared" si="23"/>
        <v>685211.83333333337</v>
      </c>
      <c r="Q38" s="17">
        <f t="shared" si="23"/>
        <v>685211.83333333337</v>
      </c>
      <c r="R38" s="17">
        <f t="shared" si="23"/>
        <v>685211.83333333337</v>
      </c>
      <c r="S38" s="17">
        <f t="shared" si="23"/>
        <v>685211.83333333337</v>
      </c>
      <c r="T38" s="41"/>
      <c r="U38" s="15">
        <f t="shared" si="11"/>
        <v>4111271.0000000005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9"/>
        <v>5000000</v>
      </c>
      <c r="I39" s="45"/>
      <c r="J39" s="48"/>
      <c r="K39" s="48"/>
      <c r="L39" s="48"/>
      <c r="M39" s="48"/>
      <c r="N39" s="17">
        <f>5000000/6</f>
        <v>833333.33333333337</v>
      </c>
      <c r="O39" s="17">
        <f t="shared" ref="O39:S39" si="24">5000000/6</f>
        <v>833333.33333333337</v>
      </c>
      <c r="P39" s="17">
        <f t="shared" si="24"/>
        <v>833333.33333333337</v>
      </c>
      <c r="Q39" s="17">
        <f t="shared" si="24"/>
        <v>833333.33333333337</v>
      </c>
      <c r="R39" s="17">
        <f t="shared" si="24"/>
        <v>833333.33333333337</v>
      </c>
      <c r="S39" s="17">
        <f t="shared" si="24"/>
        <v>833333.33333333337</v>
      </c>
      <c r="T39" s="17"/>
      <c r="U39" s="15">
        <f t="shared" si="11"/>
        <v>5000000</v>
      </c>
      <c r="V39" s="53">
        <f t="shared" si="12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17">
        <f>909641/7</f>
        <v>129948.71428571429</v>
      </c>
      <c r="O40" s="17">
        <f t="shared" ref="O40:T40" si="25">909641/7</f>
        <v>129948.71428571429</v>
      </c>
      <c r="P40" s="17">
        <f t="shared" si="25"/>
        <v>129948.71428571429</v>
      </c>
      <c r="Q40" s="17">
        <f t="shared" si="25"/>
        <v>129948.71428571429</v>
      </c>
      <c r="R40" s="17">
        <f t="shared" si="25"/>
        <v>129948.71428571429</v>
      </c>
      <c r="S40" s="17">
        <f t="shared" si="25"/>
        <v>129948.71428571429</v>
      </c>
      <c r="T40" s="17">
        <f t="shared" si="25"/>
        <v>129948.71428571429</v>
      </c>
      <c r="U40" s="15">
        <f t="shared" si="11"/>
        <v>1499999.5300000003</v>
      </c>
      <c r="V40" s="53">
        <f t="shared" si="12"/>
        <v>0.46999999973922968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48">
        <v>96747</v>
      </c>
      <c r="N41" s="17">
        <f>197987/7</f>
        <v>28283.857142857141</v>
      </c>
      <c r="O41" s="17">
        <f t="shared" ref="O41:T41" si="26">197987/7</f>
        <v>28283.857142857141</v>
      </c>
      <c r="P41" s="17">
        <f t="shared" si="26"/>
        <v>28283.857142857141</v>
      </c>
      <c r="Q41" s="17">
        <f t="shared" si="26"/>
        <v>28283.857142857141</v>
      </c>
      <c r="R41" s="17">
        <f t="shared" si="26"/>
        <v>28283.857142857141</v>
      </c>
      <c r="S41" s="17">
        <f t="shared" si="26"/>
        <v>28283.857142857141</v>
      </c>
      <c r="T41" s="17">
        <f t="shared" si="26"/>
        <v>28283.857142857141</v>
      </c>
      <c r="U41" s="15">
        <f t="shared" si="11"/>
        <v>314963.99999999994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48"/>
      <c r="N42" s="17">
        <f>5500000/6</f>
        <v>916666.66666666663</v>
      </c>
      <c r="O42" s="17">
        <f t="shared" ref="O42:S42" si="27">5500000/6</f>
        <v>916666.66666666663</v>
      </c>
      <c r="P42" s="17">
        <f t="shared" si="27"/>
        <v>916666.66666666663</v>
      </c>
      <c r="Q42" s="17">
        <f t="shared" si="27"/>
        <v>916666.66666666663</v>
      </c>
      <c r="R42" s="17">
        <f t="shared" si="27"/>
        <v>916666.66666666663</v>
      </c>
      <c r="S42" s="17">
        <f t="shared" si="27"/>
        <v>916666.66666666663</v>
      </c>
      <c r="T42" s="41"/>
      <c r="U42" s="15">
        <f t="shared" si="11"/>
        <v>5500000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48">
        <v>4800000</v>
      </c>
      <c r="N43" s="17">
        <f>24200000/6</f>
        <v>4033333.3333333335</v>
      </c>
      <c r="O43" s="17">
        <f t="shared" ref="O43:S43" si="28">24200000/6</f>
        <v>4033333.3333333335</v>
      </c>
      <c r="P43" s="17">
        <f t="shared" si="28"/>
        <v>4033333.3333333335</v>
      </c>
      <c r="Q43" s="17">
        <f t="shared" si="28"/>
        <v>4033333.3333333335</v>
      </c>
      <c r="R43" s="17">
        <f t="shared" si="28"/>
        <v>4033333.3333333335</v>
      </c>
      <c r="S43" s="17">
        <f t="shared" si="28"/>
        <v>4033333.3333333335</v>
      </c>
      <c r="T43" s="41"/>
      <c r="U43" s="15">
        <f t="shared" si="11"/>
        <v>28999999.999999996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48"/>
      <c r="N44" s="17"/>
      <c r="O44" s="17"/>
      <c r="P44" s="17"/>
      <c r="Q44" s="17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48"/>
      <c r="N45" s="17">
        <f>1900000/6</f>
        <v>316666.66666666669</v>
      </c>
      <c r="O45" s="17">
        <f t="shared" ref="O45:S45" si="29">1900000/6</f>
        <v>316666.66666666669</v>
      </c>
      <c r="P45" s="17">
        <f t="shared" si="29"/>
        <v>316666.66666666669</v>
      </c>
      <c r="Q45" s="17">
        <f t="shared" si="29"/>
        <v>316666.66666666669</v>
      </c>
      <c r="R45" s="17">
        <f t="shared" si="29"/>
        <v>316666.66666666669</v>
      </c>
      <c r="S45" s="17">
        <f t="shared" si="29"/>
        <v>316666.66666666669</v>
      </c>
      <c r="T45" s="41"/>
      <c r="U45" s="15">
        <f t="shared" si="11"/>
        <v>1900000.0000000002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48"/>
      <c r="N46" s="17">
        <f>16000000/6</f>
        <v>2666666.6666666665</v>
      </c>
      <c r="O46" s="17">
        <f t="shared" ref="O46:S46" si="30">16000000/6</f>
        <v>2666666.6666666665</v>
      </c>
      <c r="P46" s="17">
        <f t="shared" si="30"/>
        <v>2666666.6666666665</v>
      </c>
      <c r="Q46" s="17">
        <f t="shared" si="30"/>
        <v>2666666.6666666665</v>
      </c>
      <c r="R46" s="17">
        <f t="shared" si="30"/>
        <v>2666666.6666666665</v>
      </c>
      <c r="S46" s="17">
        <f t="shared" si="30"/>
        <v>2666666.6666666665</v>
      </c>
      <c r="T46" s="41"/>
      <c r="U46" s="15">
        <f t="shared" si="11"/>
        <v>15999999.999999998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48"/>
      <c r="N47" s="17">
        <f>6600000/6</f>
        <v>1100000</v>
      </c>
      <c r="O47" s="17">
        <f t="shared" ref="O47:S47" si="31">6600000/6</f>
        <v>1100000</v>
      </c>
      <c r="P47" s="17">
        <f t="shared" si="31"/>
        <v>1100000</v>
      </c>
      <c r="Q47" s="17">
        <f t="shared" si="31"/>
        <v>1100000</v>
      </c>
      <c r="R47" s="17">
        <f t="shared" si="31"/>
        <v>1100000</v>
      </c>
      <c r="S47" s="17">
        <f t="shared" si="31"/>
        <v>1100000</v>
      </c>
      <c r="T47" s="41"/>
      <c r="U47" s="15">
        <f t="shared" si="11"/>
        <v>6600000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48"/>
      <c r="N48" s="17">
        <f>2800000/6</f>
        <v>466666.66666666669</v>
      </c>
      <c r="O48" s="17">
        <f t="shared" ref="O48:S48" si="32">2800000/6</f>
        <v>466666.66666666669</v>
      </c>
      <c r="P48" s="17">
        <f t="shared" si="32"/>
        <v>466666.66666666669</v>
      </c>
      <c r="Q48" s="17">
        <f t="shared" si="32"/>
        <v>466666.66666666669</v>
      </c>
      <c r="R48" s="17">
        <f t="shared" si="32"/>
        <v>466666.66666666669</v>
      </c>
      <c r="S48" s="17">
        <f t="shared" si="32"/>
        <v>466666.66666666669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48">
        <v>7612</v>
      </c>
      <c r="N49" s="17">
        <f>3692388/7</f>
        <v>527484</v>
      </c>
      <c r="O49" s="17">
        <f t="shared" ref="O49:T49" si="33">3692388/7</f>
        <v>527484</v>
      </c>
      <c r="P49" s="17">
        <f t="shared" si="33"/>
        <v>527484</v>
      </c>
      <c r="Q49" s="17">
        <f t="shared" si="33"/>
        <v>527484</v>
      </c>
      <c r="R49" s="17">
        <f t="shared" si="33"/>
        <v>527484</v>
      </c>
      <c r="S49" s="17">
        <f t="shared" si="33"/>
        <v>527484</v>
      </c>
      <c r="T49" s="17">
        <f t="shared" si="33"/>
        <v>527484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17">
        <f>2449873/7</f>
        <v>349981.85714285716</v>
      </c>
      <c r="O50" s="17">
        <f t="shared" ref="O50:T50" si="34">2449873/7</f>
        <v>349981.85714285716</v>
      </c>
      <c r="P50" s="17">
        <f t="shared" si="34"/>
        <v>349981.85714285716</v>
      </c>
      <c r="Q50" s="17">
        <f t="shared" si="34"/>
        <v>349981.85714285716</v>
      </c>
      <c r="R50" s="17">
        <f t="shared" si="34"/>
        <v>349981.85714285716</v>
      </c>
      <c r="S50" s="17">
        <f t="shared" si="34"/>
        <v>349981.85714285716</v>
      </c>
      <c r="T50" s="17">
        <f t="shared" si="34"/>
        <v>349981.85714285716</v>
      </c>
      <c r="U50" s="15">
        <f t="shared" si="11"/>
        <v>3700000.0000000009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48"/>
      <c r="N51" s="17">
        <f>300000/7</f>
        <v>42857.142857142855</v>
      </c>
      <c r="O51" s="17">
        <f t="shared" ref="O51:T51" si="35">300000/7</f>
        <v>42857.142857142855</v>
      </c>
      <c r="P51" s="17">
        <f t="shared" si="35"/>
        <v>42857.142857142855</v>
      </c>
      <c r="Q51" s="17">
        <f t="shared" si="35"/>
        <v>42857.142857142855</v>
      </c>
      <c r="R51" s="17">
        <f t="shared" si="35"/>
        <v>42857.142857142855</v>
      </c>
      <c r="S51" s="17">
        <f t="shared" si="35"/>
        <v>42857.142857142855</v>
      </c>
      <c r="T51" s="17">
        <f t="shared" si="35"/>
        <v>42857.142857142855</v>
      </c>
      <c r="U51" s="15">
        <f t="shared" si="11"/>
        <v>299999.99999999994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48">
        <v>529317</v>
      </c>
      <c r="N52" s="17">
        <v>3369</v>
      </c>
      <c r="O52" s="17">
        <v>3369</v>
      </c>
      <c r="P52" s="17">
        <v>3369</v>
      </c>
      <c r="Q52" s="17">
        <v>3369</v>
      </c>
      <c r="R52" s="17">
        <v>3369</v>
      </c>
      <c r="S52" s="17">
        <v>3369</v>
      </c>
      <c r="T52" s="17">
        <v>3369</v>
      </c>
      <c r="U52" s="15">
        <f t="shared" si="11"/>
        <v>959359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9"/>
        <v>2000000</v>
      </c>
      <c r="I53" s="45"/>
      <c r="J53" s="48"/>
      <c r="K53" s="48"/>
      <c r="L53" s="48"/>
      <c r="M53" s="48"/>
      <c r="N53" s="17">
        <f>2000000/6</f>
        <v>333333.33333333331</v>
      </c>
      <c r="O53" s="17">
        <f t="shared" ref="O53:S53" si="36">2000000/6</f>
        <v>333333.33333333331</v>
      </c>
      <c r="P53" s="17">
        <f t="shared" si="36"/>
        <v>333333.33333333331</v>
      </c>
      <c r="Q53" s="17">
        <f t="shared" si="36"/>
        <v>333333.33333333331</v>
      </c>
      <c r="R53" s="17">
        <f t="shared" si="36"/>
        <v>333333.33333333331</v>
      </c>
      <c r="S53" s="17">
        <f t="shared" si="36"/>
        <v>333333.33333333331</v>
      </c>
      <c r="T53" s="17"/>
      <c r="U53" s="15">
        <f t="shared" si="11"/>
        <v>1999999.9999999998</v>
      </c>
      <c r="V53" s="53">
        <f t="shared" si="12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48"/>
      <c r="N54" s="17">
        <f>1000/7</f>
        <v>142.85714285714286</v>
      </c>
      <c r="O54" s="17">
        <f t="shared" ref="O54:T54" si="37">1000/7</f>
        <v>142.85714285714286</v>
      </c>
      <c r="P54" s="17">
        <f t="shared" si="37"/>
        <v>142.85714285714286</v>
      </c>
      <c r="Q54" s="17">
        <f t="shared" si="37"/>
        <v>142.85714285714286</v>
      </c>
      <c r="R54" s="17">
        <f t="shared" si="37"/>
        <v>142.85714285714286</v>
      </c>
      <c r="S54" s="17">
        <f t="shared" si="37"/>
        <v>142.85714285714286</v>
      </c>
      <c r="T54" s="17">
        <f t="shared" si="37"/>
        <v>142.85714285714286</v>
      </c>
      <c r="U54" s="11">
        <f t="shared" si="11"/>
        <v>1000.0000000000001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38">SUM(C25:C55)</f>
        <v>129053000</v>
      </c>
      <c r="D56" s="24">
        <f t="shared" si="38"/>
        <v>78000928</v>
      </c>
      <c r="E56" s="25">
        <f t="shared" si="38"/>
        <v>0</v>
      </c>
      <c r="F56" s="25">
        <f t="shared" si="38"/>
        <v>0</v>
      </c>
      <c r="G56" s="26">
        <f t="shared" si="38"/>
        <v>0</v>
      </c>
      <c r="H56" s="23">
        <f t="shared" si="38"/>
        <v>207053928</v>
      </c>
      <c r="I56" s="35">
        <f t="shared" si="38"/>
        <v>726807</v>
      </c>
      <c r="J56" s="36">
        <f t="shared" si="38"/>
        <v>532166</v>
      </c>
      <c r="K56" s="36">
        <f t="shared" si="38"/>
        <v>2997485.53</v>
      </c>
      <c r="L56" s="36">
        <f t="shared" si="38"/>
        <v>2810716</v>
      </c>
      <c r="M56" s="36">
        <f t="shared" si="38"/>
        <v>5433676</v>
      </c>
      <c r="N56" s="36">
        <f t="shared" si="38"/>
        <v>21411834.928571429</v>
      </c>
      <c r="O56" s="36">
        <f t="shared" si="38"/>
        <v>34411834.928571433</v>
      </c>
      <c r="P56" s="36">
        <f t="shared" si="38"/>
        <v>34411834.928571433</v>
      </c>
      <c r="Q56" s="36">
        <f t="shared" si="38"/>
        <v>34411834.928571433</v>
      </c>
      <c r="R56" s="36">
        <f t="shared" si="38"/>
        <v>34411834.928571433</v>
      </c>
      <c r="S56" s="36">
        <f t="shared" si="38"/>
        <v>34411834.928571433</v>
      </c>
      <c r="T56" s="57">
        <f t="shared" si="38"/>
        <v>1082067.4285714284</v>
      </c>
      <c r="U56" s="23">
        <f t="shared" si="38"/>
        <v>207053927.53</v>
      </c>
      <c r="V56" s="58">
        <f t="shared" si="38"/>
        <v>0.46999999973922968</v>
      </c>
    </row>
    <row r="61" spans="1:22" ht="24" x14ac:dyDescent="0.25">
      <c r="B61" s="103" t="s">
        <v>120</v>
      </c>
    </row>
    <row r="62" spans="1:22" x14ac:dyDescent="0.25">
      <c r="B62" s="101"/>
    </row>
    <row r="64" spans="1:22" ht="14.25" customHeight="1" x14ac:dyDescent="0.25">
      <c r="A64" s="102" t="s">
        <v>118</v>
      </c>
      <c r="B64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46" zoomScale="97" zoomScaleNormal="97" workbookViewId="0">
      <selection activeCell="B64" sqref="A61:B64"/>
    </sheetView>
  </sheetViews>
  <sheetFormatPr baseColWidth="10" defaultColWidth="11.42578125" defaultRowHeight="12.75" x14ac:dyDescent="0.25"/>
  <cols>
    <col min="1" max="1" width="18.42578125" style="1" customWidth="1"/>
    <col min="2" max="2" width="34.42578125" style="1" customWidth="1"/>
    <col min="3" max="3" width="16" style="1" customWidth="1"/>
    <col min="4" max="4" width="10.7109375" style="1" customWidth="1"/>
    <col min="5" max="5" width="4.28515625" style="1" customWidth="1"/>
    <col min="6" max="7" width="5.5703125" style="1" customWidth="1"/>
    <col min="8" max="8" width="14.5703125" style="1" customWidth="1"/>
    <col min="9" max="9" width="11.85546875" style="1" customWidth="1"/>
    <col min="10" max="10" width="10.28515625" style="1" customWidth="1"/>
    <col min="11" max="11" width="11.7109375" style="1" customWidth="1"/>
    <col min="12" max="12" width="9.7109375" style="1" customWidth="1"/>
    <col min="13" max="19" width="10.7109375" style="1" customWidth="1"/>
    <col min="20" max="20" width="9.85546875" style="1" customWidth="1"/>
    <col min="21" max="21" width="13.85546875" style="1" customWidth="1"/>
    <col min="22" max="22" width="10.85546875" style="1" customWidth="1"/>
    <col min="23" max="23" width="11.5703125" style="1" bestFit="1" customWidth="1"/>
    <col min="24" max="16384" width="11.42578125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29">
        <f>1331000/6</f>
        <v>221833.33333333334</v>
      </c>
      <c r="P8" s="29">
        <f t="shared" ref="P8:S8" si="0">1331000/6</f>
        <v>221833.33333333334</v>
      </c>
      <c r="Q8" s="29">
        <f t="shared" si="0"/>
        <v>221833.33333333334</v>
      </c>
      <c r="R8" s="29">
        <f t="shared" si="0"/>
        <v>221833.33333333334</v>
      </c>
      <c r="S8" s="29">
        <f t="shared" si="0"/>
        <v>221833.33333333334</v>
      </c>
      <c r="T8" s="29">
        <f>1331000/6</f>
        <v>221833.33333333334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17">
        <f>1529000/6</f>
        <v>254833.33333333334</v>
      </c>
      <c r="P9" s="17">
        <f t="shared" ref="P9:T9" si="2">1529000/6</f>
        <v>254833.33333333334</v>
      </c>
      <c r="Q9" s="17">
        <f t="shared" si="2"/>
        <v>254833.33333333334</v>
      </c>
      <c r="R9" s="17">
        <f t="shared" si="2"/>
        <v>254833.33333333334</v>
      </c>
      <c r="S9" s="17">
        <f t="shared" si="2"/>
        <v>254833.33333333334</v>
      </c>
      <c r="T9" s="17">
        <f t="shared" si="2"/>
        <v>254833.33333333334</v>
      </c>
      <c r="U9" s="15">
        <f t="shared" ref="U9:U19" si="3">SUM(I9:T9)</f>
        <v>5499999.9999999981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48"/>
      <c r="N10" s="48"/>
      <c r="O10" s="17"/>
      <c r="P10" s="17"/>
      <c r="Q10" s="17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48"/>
      <c r="N11" s="48"/>
      <c r="O11" s="17"/>
      <c r="P11" s="17"/>
      <c r="Q11" s="17"/>
      <c r="R11" s="17"/>
      <c r="S11" s="17"/>
      <c r="T11" s="18"/>
      <c r="U11" s="15">
        <f>SUM(I11:T11)</f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48"/>
      <c r="N12" s="48"/>
      <c r="O12" s="17"/>
      <c r="P12" s="17"/>
      <c r="Q12" s="17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48"/>
      <c r="N13" s="48"/>
      <c r="O13" s="17">
        <v>32000000</v>
      </c>
      <c r="P13" s="17"/>
      <c r="Q13" s="17"/>
      <c r="R13" s="17"/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17">
        <f>45449/6</f>
        <v>7574.833333333333</v>
      </c>
      <c r="P14" s="17">
        <f t="shared" ref="P14:T14" si="5">45449/6</f>
        <v>7574.833333333333</v>
      </c>
      <c r="Q14" s="17">
        <f t="shared" si="5"/>
        <v>7574.833333333333</v>
      </c>
      <c r="R14" s="17">
        <f t="shared" si="5"/>
        <v>7574.833333333333</v>
      </c>
      <c r="S14" s="17">
        <f t="shared" si="5"/>
        <v>7574.833333333333</v>
      </c>
      <c r="T14" s="17">
        <f t="shared" si="5"/>
        <v>7574.833333333333</v>
      </c>
      <c r="U14" s="15">
        <f t="shared" si="3"/>
        <v>50000.43</v>
      </c>
      <c r="V14" s="15">
        <f t="shared" si="4"/>
        <v>-0.43000000000029104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48"/>
      <c r="N15" s="48"/>
      <c r="O15" s="17"/>
      <c r="P15" s="17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49"/>
      <c r="N16" s="49"/>
      <c r="O16" s="21">
        <v>1000</v>
      </c>
      <c r="P16" s="21"/>
      <c r="Q16" s="21"/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49"/>
      <c r="N17" s="49"/>
      <c r="O17" s="21">
        <v>1000</v>
      </c>
      <c r="P17" s="21"/>
      <c r="Q17" s="21"/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49"/>
      <c r="N18" s="49"/>
      <c r="O18" s="21">
        <v>1000</v>
      </c>
      <c r="P18" s="21"/>
      <c r="Q18" s="21"/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752423.22</v>
      </c>
      <c r="N20" s="36">
        <f t="shared" si="6"/>
        <v>46338.19</v>
      </c>
      <c r="O20" s="36">
        <f t="shared" si="6"/>
        <v>32487241.5</v>
      </c>
      <c r="P20" s="36">
        <f t="shared" si="6"/>
        <v>484241.5</v>
      </c>
      <c r="Q20" s="36">
        <f t="shared" si="6"/>
        <v>484241.5</v>
      </c>
      <c r="R20" s="36">
        <f t="shared" si="6"/>
        <v>484241.5</v>
      </c>
      <c r="S20" s="36">
        <f t="shared" si="6"/>
        <v>484241.5</v>
      </c>
      <c r="T20" s="37">
        <f t="shared" si="6"/>
        <v>484241.5</v>
      </c>
      <c r="U20" s="23">
        <f t="shared" si="6"/>
        <v>211053928.43000001</v>
      </c>
      <c r="V20" s="23">
        <f t="shared" si="6"/>
        <v>-4000000.43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51"/>
      <c r="O25" s="13">
        <f>4800000/5</f>
        <v>960000</v>
      </c>
      <c r="P25" s="13">
        <f t="shared" ref="P25:S25" si="7">4800000/5</f>
        <v>960000</v>
      </c>
      <c r="Q25" s="13">
        <f t="shared" si="7"/>
        <v>960000</v>
      </c>
      <c r="R25" s="13">
        <f t="shared" si="7"/>
        <v>960000</v>
      </c>
      <c r="S25" s="13">
        <f t="shared" si="7"/>
        <v>960000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51"/>
      <c r="O26" s="13">
        <f>18000000/5</f>
        <v>3600000</v>
      </c>
      <c r="P26" s="13">
        <f t="shared" ref="P26:S26" si="8">18000000/5</f>
        <v>3600000</v>
      </c>
      <c r="Q26" s="13">
        <f t="shared" si="8"/>
        <v>3600000</v>
      </c>
      <c r="R26" s="13">
        <f t="shared" si="8"/>
        <v>3600000</v>
      </c>
      <c r="S26" s="13">
        <f t="shared" si="8"/>
        <v>3600000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48"/>
      <c r="N27" s="48"/>
      <c r="O27" s="17">
        <f>8600000/5</f>
        <v>1720000</v>
      </c>
      <c r="P27" s="17">
        <f t="shared" ref="P27:S27" si="10">8600000/5</f>
        <v>1720000</v>
      </c>
      <c r="Q27" s="17">
        <f t="shared" si="10"/>
        <v>1720000</v>
      </c>
      <c r="R27" s="17">
        <f t="shared" si="10"/>
        <v>1720000</v>
      </c>
      <c r="S27" s="17">
        <f t="shared" si="10"/>
        <v>1720000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9"/>
        <v>15000000</v>
      </c>
      <c r="I28" s="45"/>
      <c r="J28" s="48"/>
      <c r="K28" s="48"/>
      <c r="L28" s="48"/>
      <c r="M28" s="48"/>
      <c r="N28" s="48"/>
      <c r="O28" s="17">
        <f>15000000/5</f>
        <v>3000000</v>
      </c>
      <c r="P28" s="17">
        <f t="shared" ref="P28:S28" si="13">15000000/5</f>
        <v>3000000</v>
      </c>
      <c r="Q28" s="17">
        <f t="shared" si="13"/>
        <v>3000000</v>
      </c>
      <c r="R28" s="17">
        <f t="shared" si="13"/>
        <v>3000000</v>
      </c>
      <c r="S28" s="17">
        <f t="shared" si="13"/>
        <v>3000000</v>
      </c>
      <c r="T28" s="41"/>
      <c r="U28" s="15">
        <f t="shared" si="11"/>
        <v>15000000</v>
      </c>
      <c r="V28" s="53">
        <f t="shared" si="12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48"/>
      <c r="N29" s="48"/>
      <c r="O29" s="17">
        <f>12500000/5</f>
        <v>2500000</v>
      </c>
      <c r="P29" s="17">
        <f t="shared" ref="P29:S29" si="14">12500000/5</f>
        <v>2500000</v>
      </c>
      <c r="Q29" s="17">
        <f t="shared" si="14"/>
        <v>2500000</v>
      </c>
      <c r="R29" s="17">
        <f t="shared" si="14"/>
        <v>2500000</v>
      </c>
      <c r="S29" s="17">
        <f t="shared" si="14"/>
        <v>2500000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48"/>
      <c r="N30" s="48"/>
      <c r="O30" s="17">
        <f>12000000/5</f>
        <v>2400000</v>
      </c>
      <c r="P30" s="17">
        <f t="shared" ref="P30:S30" si="15">12000000/5</f>
        <v>2400000</v>
      </c>
      <c r="Q30" s="17">
        <f t="shared" si="15"/>
        <v>2400000</v>
      </c>
      <c r="R30" s="17">
        <f t="shared" si="15"/>
        <v>2400000</v>
      </c>
      <c r="S30" s="17">
        <f t="shared" si="15"/>
        <v>2400000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48"/>
      <c r="N31" s="48"/>
      <c r="O31" s="17">
        <f>1000/5</f>
        <v>200</v>
      </c>
      <c r="P31" s="17">
        <f t="shared" ref="P31:S31" si="16">1000/5</f>
        <v>200</v>
      </c>
      <c r="Q31" s="17">
        <f t="shared" si="16"/>
        <v>200</v>
      </c>
      <c r="R31" s="17">
        <f t="shared" si="16"/>
        <v>200</v>
      </c>
      <c r="S31" s="17">
        <f t="shared" si="16"/>
        <v>200</v>
      </c>
      <c r="T31" s="41"/>
      <c r="U31" s="15">
        <f t="shared" si="11"/>
        <v>1000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48"/>
      <c r="N32" s="48"/>
      <c r="O32" s="17">
        <f>50000/5</f>
        <v>10000</v>
      </c>
      <c r="P32" s="17">
        <f t="shared" ref="P32:S32" si="17">50000/5</f>
        <v>10000</v>
      </c>
      <c r="Q32" s="17">
        <f t="shared" si="17"/>
        <v>10000</v>
      </c>
      <c r="R32" s="17">
        <f t="shared" si="17"/>
        <v>10000</v>
      </c>
      <c r="S32" s="17">
        <f t="shared" si="17"/>
        <v>10000</v>
      </c>
      <c r="T32" s="41"/>
      <c r="U32" s="15">
        <f t="shared" si="11"/>
        <v>50000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9"/>
        <v>10629373</v>
      </c>
      <c r="I33" s="45"/>
      <c r="J33" s="48"/>
      <c r="K33" s="48"/>
      <c r="L33" s="48"/>
      <c r="M33" s="48"/>
      <c r="N33" s="48"/>
      <c r="O33" s="17">
        <f>10629373/5</f>
        <v>2125874.6</v>
      </c>
      <c r="P33" s="17">
        <f t="shared" ref="P33:S33" si="18">10629373/5</f>
        <v>2125874.6</v>
      </c>
      <c r="Q33" s="17">
        <f t="shared" si="18"/>
        <v>2125874.6</v>
      </c>
      <c r="R33" s="17">
        <f t="shared" si="18"/>
        <v>2125874.6</v>
      </c>
      <c r="S33" s="17">
        <f t="shared" si="18"/>
        <v>2125874.6</v>
      </c>
      <c r="T33" s="41"/>
      <c r="U33" s="15">
        <f t="shared" si="11"/>
        <v>10629373</v>
      </c>
      <c r="V33" s="53">
        <f t="shared" si="12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9"/>
        <v>5348956</v>
      </c>
      <c r="I34" s="45"/>
      <c r="J34" s="48"/>
      <c r="K34" s="48"/>
      <c r="L34" s="48"/>
      <c r="M34" s="48"/>
      <c r="N34" s="48"/>
      <c r="O34" s="17">
        <f>5348956/5</f>
        <v>1069791.2</v>
      </c>
      <c r="P34" s="17">
        <f t="shared" ref="P34:S34" si="19">5348956/5</f>
        <v>1069791.2</v>
      </c>
      <c r="Q34" s="17">
        <f t="shared" si="19"/>
        <v>1069791.2</v>
      </c>
      <c r="R34" s="17">
        <f t="shared" si="19"/>
        <v>1069791.2</v>
      </c>
      <c r="S34" s="17">
        <f t="shared" si="19"/>
        <v>1069791.2</v>
      </c>
      <c r="T34" s="41"/>
      <c r="U34" s="15">
        <f t="shared" si="11"/>
        <v>5348956</v>
      </c>
      <c r="V34" s="53">
        <f t="shared" si="12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48"/>
      <c r="N35" s="48"/>
      <c r="O35" s="17">
        <f>21638005/5</f>
        <v>4327601</v>
      </c>
      <c r="P35" s="17">
        <f t="shared" ref="P35:S35" si="20">21638005/5</f>
        <v>4327601</v>
      </c>
      <c r="Q35" s="17">
        <f t="shared" si="20"/>
        <v>4327601</v>
      </c>
      <c r="R35" s="17">
        <f t="shared" si="20"/>
        <v>4327601</v>
      </c>
      <c r="S35" s="17">
        <f t="shared" si="20"/>
        <v>4327601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48"/>
      <c r="N36" s="48"/>
      <c r="O36" s="17">
        <f>6600000/5</f>
        <v>1320000</v>
      </c>
      <c r="P36" s="17">
        <f t="shared" ref="P36:S36" si="21">6600000/5</f>
        <v>1320000</v>
      </c>
      <c r="Q36" s="17">
        <f t="shared" si="21"/>
        <v>1320000</v>
      </c>
      <c r="R36" s="17">
        <f t="shared" si="21"/>
        <v>1320000</v>
      </c>
      <c r="S36" s="17">
        <f t="shared" si="21"/>
        <v>1320000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48"/>
      <c r="N37" s="48"/>
      <c r="O37" s="17">
        <f>3700000/5</f>
        <v>740000</v>
      </c>
      <c r="P37" s="17">
        <f t="shared" ref="P37:S37" si="22">3700000/5</f>
        <v>740000</v>
      </c>
      <c r="Q37" s="17">
        <f t="shared" si="22"/>
        <v>740000</v>
      </c>
      <c r="R37" s="17">
        <f t="shared" si="22"/>
        <v>740000</v>
      </c>
      <c r="S37" s="17">
        <f t="shared" si="22"/>
        <v>740000</v>
      </c>
      <c r="T37" s="41"/>
      <c r="U37" s="15">
        <f t="shared" si="11"/>
        <v>3700000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48"/>
      <c r="N38" s="48">
        <v>4070000</v>
      </c>
      <c r="O38" s="17">
        <f>41271/5</f>
        <v>8254.2000000000007</v>
      </c>
      <c r="P38" s="17">
        <f t="shared" ref="P38:S38" si="23">41271/5</f>
        <v>8254.2000000000007</v>
      </c>
      <c r="Q38" s="17">
        <f t="shared" si="23"/>
        <v>8254.2000000000007</v>
      </c>
      <c r="R38" s="17">
        <f t="shared" si="23"/>
        <v>8254.2000000000007</v>
      </c>
      <c r="S38" s="17">
        <f t="shared" si="23"/>
        <v>8254.2000000000007</v>
      </c>
      <c r="T38" s="41"/>
      <c r="U38" s="15">
        <f t="shared" si="11"/>
        <v>4111271.0000000009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9"/>
        <v>5000000</v>
      </c>
      <c r="I39" s="45"/>
      <c r="J39" s="48"/>
      <c r="K39" s="48"/>
      <c r="L39" s="48"/>
      <c r="M39" s="48"/>
      <c r="N39" s="48"/>
      <c r="O39" s="17">
        <f>5000000/5</f>
        <v>1000000</v>
      </c>
      <c r="P39" s="17">
        <f t="shared" ref="P39:S39" si="24">5000000/5</f>
        <v>1000000</v>
      </c>
      <c r="Q39" s="17">
        <f t="shared" si="24"/>
        <v>1000000</v>
      </c>
      <c r="R39" s="17">
        <f t="shared" si="24"/>
        <v>1000000</v>
      </c>
      <c r="S39" s="17">
        <f t="shared" si="24"/>
        <v>1000000</v>
      </c>
      <c r="T39" s="17"/>
      <c r="U39" s="15">
        <f t="shared" si="11"/>
        <v>5000000</v>
      </c>
      <c r="V39" s="53">
        <f t="shared" si="12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48"/>
      <c r="O40" s="17">
        <f>909641/6</f>
        <v>151606.83333333334</v>
      </c>
      <c r="P40" s="17">
        <f t="shared" ref="P40:T40" si="25">909641/6</f>
        <v>151606.83333333334</v>
      </c>
      <c r="Q40" s="17">
        <f t="shared" si="25"/>
        <v>151606.83333333334</v>
      </c>
      <c r="R40" s="17">
        <f t="shared" si="25"/>
        <v>151606.83333333334</v>
      </c>
      <c r="S40" s="17">
        <f t="shared" si="25"/>
        <v>151606.83333333334</v>
      </c>
      <c r="T40" s="17">
        <f t="shared" si="25"/>
        <v>151606.83333333334</v>
      </c>
      <c r="U40" s="15">
        <f t="shared" si="11"/>
        <v>1499999.53</v>
      </c>
      <c r="V40" s="53">
        <f t="shared" si="12"/>
        <v>0.46999999997206032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48">
        <v>96747</v>
      </c>
      <c r="N41" s="48">
        <v>104839</v>
      </c>
      <c r="O41" s="17">
        <f>93148/6</f>
        <v>15524.666666666666</v>
      </c>
      <c r="P41" s="17">
        <f t="shared" ref="P41:T41" si="26">93148/6</f>
        <v>15524.666666666666</v>
      </c>
      <c r="Q41" s="17">
        <f t="shared" si="26"/>
        <v>15524.666666666666</v>
      </c>
      <c r="R41" s="17">
        <f t="shared" si="26"/>
        <v>15524.666666666666</v>
      </c>
      <c r="S41" s="17">
        <f t="shared" si="26"/>
        <v>15524.666666666666</v>
      </c>
      <c r="T41" s="17">
        <f t="shared" si="26"/>
        <v>15524.666666666666</v>
      </c>
      <c r="U41" s="15">
        <f t="shared" si="11"/>
        <v>314964.00000000006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48"/>
      <c r="N42" s="48"/>
      <c r="O42" s="17">
        <f t="shared" ref="O42:T42" si="27">5500000/6</f>
        <v>916666.66666666663</v>
      </c>
      <c r="P42" s="17">
        <f t="shared" si="27"/>
        <v>916666.66666666663</v>
      </c>
      <c r="Q42" s="17">
        <f t="shared" si="27"/>
        <v>916666.66666666663</v>
      </c>
      <c r="R42" s="17">
        <f t="shared" si="27"/>
        <v>916666.66666666663</v>
      </c>
      <c r="S42" s="17">
        <f t="shared" si="27"/>
        <v>916666.66666666663</v>
      </c>
      <c r="T42" s="41">
        <f t="shared" si="27"/>
        <v>916666.66666666663</v>
      </c>
      <c r="U42" s="15">
        <f t="shared" si="11"/>
        <v>5500000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48">
        <v>4800000</v>
      </c>
      <c r="N43" s="48"/>
      <c r="O43" s="17">
        <f>24200000/5</f>
        <v>4840000</v>
      </c>
      <c r="P43" s="17">
        <f t="shared" ref="P43:S43" si="28">24200000/5</f>
        <v>4840000</v>
      </c>
      <c r="Q43" s="17">
        <f t="shared" si="28"/>
        <v>4840000</v>
      </c>
      <c r="R43" s="17">
        <f t="shared" si="28"/>
        <v>4840000</v>
      </c>
      <c r="S43" s="17">
        <f t="shared" si="28"/>
        <v>4840000</v>
      </c>
      <c r="T43" s="41"/>
      <c r="U43" s="15">
        <f t="shared" si="11"/>
        <v>29000000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48"/>
      <c r="N44" s="48"/>
      <c r="O44" s="17"/>
      <c r="P44" s="17"/>
      <c r="Q44" s="17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48"/>
      <c r="N45" s="48"/>
      <c r="O45" s="17">
        <f>1900000/5</f>
        <v>380000</v>
      </c>
      <c r="P45" s="17">
        <f t="shared" ref="P45:S45" si="29">1900000/5</f>
        <v>380000</v>
      </c>
      <c r="Q45" s="17">
        <f t="shared" si="29"/>
        <v>380000</v>
      </c>
      <c r="R45" s="17">
        <f t="shared" si="29"/>
        <v>380000</v>
      </c>
      <c r="S45" s="17">
        <f t="shared" si="29"/>
        <v>380000</v>
      </c>
      <c r="T45" s="41"/>
      <c r="U45" s="15">
        <f t="shared" si="11"/>
        <v>1900000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48"/>
      <c r="N46" s="48"/>
      <c r="O46" s="17">
        <f>16000000/5</f>
        <v>3200000</v>
      </c>
      <c r="P46" s="17">
        <f t="shared" ref="P46:S46" si="30">16000000/5</f>
        <v>3200000</v>
      </c>
      <c r="Q46" s="17">
        <f t="shared" si="30"/>
        <v>3200000</v>
      </c>
      <c r="R46" s="17">
        <f t="shared" si="30"/>
        <v>3200000</v>
      </c>
      <c r="S46" s="17">
        <f t="shared" si="30"/>
        <v>3200000</v>
      </c>
      <c r="T46" s="41"/>
      <c r="U46" s="15">
        <f t="shared" si="11"/>
        <v>16000000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48"/>
      <c r="N47" s="48"/>
      <c r="O47" s="17">
        <f>6600000/5</f>
        <v>1320000</v>
      </c>
      <c r="P47" s="17">
        <f t="shared" ref="P47:S47" si="31">6600000/5</f>
        <v>1320000</v>
      </c>
      <c r="Q47" s="17">
        <f t="shared" si="31"/>
        <v>1320000</v>
      </c>
      <c r="R47" s="17">
        <f t="shared" si="31"/>
        <v>1320000</v>
      </c>
      <c r="S47" s="17">
        <f t="shared" si="31"/>
        <v>1320000</v>
      </c>
      <c r="T47" s="41"/>
      <c r="U47" s="15">
        <f t="shared" si="11"/>
        <v>6600000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48"/>
      <c r="N48" s="48"/>
      <c r="O48" s="17">
        <f>2800000/5</f>
        <v>560000</v>
      </c>
      <c r="P48" s="17">
        <f t="shared" ref="P48:S48" si="32">2800000/5</f>
        <v>560000</v>
      </c>
      <c r="Q48" s="17">
        <f t="shared" si="32"/>
        <v>560000</v>
      </c>
      <c r="R48" s="17">
        <f t="shared" si="32"/>
        <v>560000</v>
      </c>
      <c r="S48" s="17">
        <f t="shared" si="32"/>
        <v>560000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48">
        <v>7612</v>
      </c>
      <c r="N49" s="48"/>
      <c r="O49" s="17">
        <f>3692388/6</f>
        <v>615398</v>
      </c>
      <c r="P49" s="17">
        <f t="shared" ref="P49:T49" si="33">3692388/6</f>
        <v>615398</v>
      </c>
      <c r="Q49" s="17">
        <f t="shared" si="33"/>
        <v>615398</v>
      </c>
      <c r="R49" s="17">
        <f t="shared" si="33"/>
        <v>615398</v>
      </c>
      <c r="S49" s="17">
        <f t="shared" si="33"/>
        <v>615398</v>
      </c>
      <c r="T49" s="17">
        <f t="shared" si="33"/>
        <v>615398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48">
        <v>327969</v>
      </c>
      <c r="O50" s="17">
        <f>2121904/6</f>
        <v>353650.66666666669</v>
      </c>
      <c r="P50" s="17">
        <f t="shared" ref="P50:T50" si="34">2121904/6</f>
        <v>353650.66666666669</v>
      </c>
      <c r="Q50" s="17">
        <f t="shared" si="34"/>
        <v>353650.66666666669</v>
      </c>
      <c r="R50" s="17">
        <f t="shared" si="34"/>
        <v>353650.66666666669</v>
      </c>
      <c r="S50" s="17">
        <f t="shared" si="34"/>
        <v>353650.66666666669</v>
      </c>
      <c r="T50" s="17">
        <f t="shared" si="34"/>
        <v>353650.66666666669</v>
      </c>
      <c r="U50" s="15">
        <f t="shared" si="11"/>
        <v>3699999.9999999995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48"/>
      <c r="N51" s="48"/>
      <c r="O51" s="17">
        <f>300000/6</f>
        <v>50000</v>
      </c>
      <c r="P51" s="17">
        <f t="shared" ref="P51:T51" si="35">300000/6</f>
        <v>50000</v>
      </c>
      <c r="Q51" s="17">
        <f t="shared" si="35"/>
        <v>50000</v>
      </c>
      <c r="R51" s="17">
        <f t="shared" si="35"/>
        <v>50000</v>
      </c>
      <c r="S51" s="17">
        <f t="shared" si="35"/>
        <v>50000</v>
      </c>
      <c r="T51" s="17">
        <f t="shared" si="35"/>
        <v>50000</v>
      </c>
      <c r="U51" s="15">
        <f t="shared" si="11"/>
        <v>300000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48">
        <v>529317</v>
      </c>
      <c r="N52" s="48"/>
      <c r="O52" s="17">
        <v>3930.5</v>
      </c>
      <c r="P52" s="17">
        <v>3930.5</v>
      </c>
      <c r="Q52" s="17">
        <v>3930.5</v>
      </c>
      <c r="R52" s="17">
        <v>3930.5</v>
      </c>
      <c r="S52" s="17">
        <v>3930.5</v>
      </c>
      <c r="T52" s="17">
        <v>3930.5</v>
      </c>
      <c r="U52" s="15">
        <f t="shared" si="11"/>
        <v>959359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9"/>
        <v>2000000</v>
      </c>
      <c r="I53" s="45"/>
      <c r="J53" s="48"/>
      <c r="K53" s="48"/>
      <c r="L53" s="48"/>
      <c r="M53" s="48"/>
      <c r="N53" s="48"/>
      <c r="O53" s="17">
        <f>2000000/5</f>
        <v>400000</v>
      </c>
      <c r="P53" s="17">
        <f t="shared" ref="P53:S53" si="36">2000000/5</f>
        <v>400000</v>
      </c>
      <c r="Q53" s="17">
        <f t="shared" si="36"/>
        <v>400000</v>
      </c>
      <c r="R53" s="17">
        <f t="shared" si="36"/>
        <v>400000</v>
      </c>
      <c r="S53" s="17">
        <f t="shared" si="36"/>
        <v>400000</v>
      </c>
      <c r="T53" s="17"/>
      <c r="U53" s="15">
        <f t="shared" si="11"/>
        <v>2000000</v>
      </c>
      <c r="V53" s="53">
        <f t="shared" si="12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48"/>
      <c r="N54" s="48"/>
      <c r="O54" s="17">
        <f>1000/6</f>
        <v>166.66666666666666</v>
      </c>
      <c r="P54" s="17">
        <f t="shared" ref="P54:T54" si="37">1000/6</f>
        <v>166.66666666666666</v>
      </c>
      <c r="Q54" s="17">
        <f t="shared" si="37"/>
        <v>166.66666666666666</v>
      </c>
      <c r="R54" s="17">
        <f t="shared" si="37"/>
        <v>166.66666666666666</v>
      </c>
      <c r="S54" s="17">
        <f t="shared" si="37"/>
        <v>166.66666666666666</v>
      </c>
      <c r="T54" s="17">
        <f t="shared" si="37"/>
        <v>166.66666666666666</v>
      </c>
      <c r="U54" s="11">
        <f t="shared" si="11"/>
        <v>999.99999999999989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38">SUM(C25:C55)</f>
        <v>129053000</v>
      </c>
      <c r="D56" s="24">
        <f t="shared" si="38"/>
        <v>78000928</v>
      </c>
      <c r="E56" s="25">
        <f t="shared" si="38"/>
        <v>0</v>
      </c>
      <c r="F56" s="25">
        <f t="shared" si="38"/>
        <v>0</v>
      </c>
      <c r="G56" s="26">
        <f t="shared" si="38"/>
        <v>0</v>
      </c>
      <c r="H56" s="23">
        <f t="shared" si="38"/>
        <v>207053928</v>
      </c>
      <c r="I56" s="35">
        <f t="shared" si="38"/>
        <v>726807</v>
      </c>
      <c r="J56" s="36">
        <f t="shared" si="38"/>
        <v>532166</v>
      </c>
      <c r="K56" s="36">
        <f t="shared" si="38"/>
        <v>2997485.53</v>
      </c>
      <c r="L56" s="36">
        <f t="shared" si="38"/>
        <v>2810716</v>
      </c>
      <c r="M56" s="36">
        <f t="shared" si="38"/>
        <v>5433676</v>
      </c>
      <c r="N56" s="36">
        <f t="shared" si="38"/>
        <v>4502808</v>
      </c>
      <c r="O56" s="36">
        <f t="shared" si="38"/>
        <v>37588665</v>
      </c>
      <c r="P56" s="36">
        <f t="shared" si="38"/>
        <v>37588665</v>
      </c>
      <c r="Q56" s="36">
        <f t="shared" si="38"/>
        <v>37588665</v>
      </c>
      <c r="R56" s="36">
        <f t="shared" si="38"/>
        <v>37588665</v>
      </c>
      <c r="S56" s="36">
        <f t="shared" si="38"/>
        <v>37588665</v>
      </c>
      <c r="T56" s="57">
        <f t="shared" si="38"/>
        <v>2106943.9999999995</v>
      </c>
      <c r="U56" s="23">
        <f t="shared" si="38"/>
        <v>207053927.53</v>
      </c>
      <c r="V56" s="58">
        <f t="shared" si="38"/>
        <v>0.46999999997206032</v>
      </c>
    </row>
    <row r="61" spans="1:22" ht="24" x14ac:dyDescent="0.25">
      <c r="B61" s="103" t="s">
        <v>120</v>
      </c>
    </row>
    <row r="62" spans="1:22" x14ac:dyDescent="0.25">
      <c r="B62" s="101"/>
    </row>
    <row r="64" spans="1:22" ht="22.5" x14ac:dyDescent="0.25">
      <c r="A64" s="102" t="s">
        <v>118</v>
      </c>
      <c r="B64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opLeftCell="A46" zoomScale="97" zoomScaleNormal="97" workbookViewId="0">
      <selection activeCell="B63" sqref="A60:B63"/>
    </sheetView>
  </sheetViews>
  <sheetFormatPr baseColWidth="10" defaultColWidth="11.42578125" defaultRowHeight="12.75" x14ac:dyDescent="0.25"/>
  <cols>
    <col min="1" max="1" width="18.140625" style="1" customWidth="1"/>
    <col min="2" max="2" width="34" style="1" customWidth="1"/>
    <col min="3" max="3" width="15.42578125" style="1" customWidth="1"/>
    <col min="4" max="4" width="10.7109375" style="1" customWidth="1"/>
    <col min="5" max="7" width="3.7109375" style="1" customWidth="1"/>
    <col min="8" max="8" width="15.140625" style="1" customWidth="1"/>
    <col min="9" max="9" width="11.85546875" style="1" customWidth="1"/>
    <col min="10" max="10" width="10.42578125" style="1" customWidth="1"/>
    <col min="11" max="11" width="11.7109375" style="1" customWidth="1"/>
    <col min="12" max="12" width="9.7109375" style="1" customWidth="1"/>
    <col min="13" max="19" width="10.7109375" style="1" customWidth="1"/>
    <col min="20" max="20" width="9.85546875" style="1" customWidth="1"/>
    <col min="21" max="21" width="13" style="1" customWidth="1"/>
    <col min="22" max="22" width="10.85546875" style="1" customWidth="1"/>
    <col min="23" max="23" width="11.5703125" style="1" bestFit="1" customWidth="1"/>
    <col min="24" max="16384" width="11.42578125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29">
        <f>1160000/5</f>
        <v>232000</v>
      </c>
      <c r="Q8" s="29">
        <f t="shared" ref="Q8:T8" si="0">1160000/5</f>
        <v>232000</v>
      </c>
      <c r="R8" s="29">
        <f t="shared" si="0"/>
        <v>232000</v>
      </c>
      <c r="S8" s="29">
        <f t="shared" si="0"/>
        <v>232000</v>
      </c>
      <c r="T8" s="29">
        <f t="shared" si="0"/>
        <v>232000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17">
        <f>1529000/5</f>
        <v>305800</v>
      </c>
      <c r="Q9" s="17">
        <f t="shared" ref="Q9:T9" si="2">1529000/5</f>
        <v>305800</v>
      </c>
      <c r="R9" s="17">
        <f t="shared" si="2"/>
        <v>305800</v>
      </c>
      <c r="S9" s="17">
        <f t="shared" si="2"/>
        <v>305800</v>
      </c>
      <c r="T9" s="17">
        <f t="shared" si="2"/>
        <v>305800</v>
      </c>
      <c r="U9" s="15">
        <f t="shared" ref="U9:U19" si="3">SUM(I9:T9)</f>
        <v>5500000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48"/>
      <c r="N10" s="48"/>
      <c r="O10" s="48"/>
      <c r="P10" s="17"/>
      <c r="Q10" s="17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48"/>
      <c r="N11" s="48"/>
      <c r="O11" s="48"/>
      <c r="P11" s="17"/>
      <c r="Q11" s="17"/>
      <c r="R11" s="17"/>
      <c r="S11" s="17"/>
      <c r="T11" s="18"/>
      <c r="U11" s="15">
        <f>SUM(I11:T11)</f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48"/>
      <c r="N12" s="48"/>
      <c r="O12" s="48"/>
      <c r="P12" s="17"/>
      <c r="Q12" s="17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48"/>
      <c r="N13" s="48"/>
      <c r="O13" s="48"/>
      <c r="P13" s="17">
        <v>32000000</v>
      </c>
      <c r="Q13" s="17"/>
      <c r="R13" s="17"/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17">
        <f>44112/5</f>
        <v>8822.4</v>
      </c>
      <c r="Q14" s="17">
        <f t="shared" ref="Q14:T14" si="5">44112/5</f>
        <v>8822.4</v>
      </c>
      <c r="R14" s="17">
        <f t="shared" si="5"/>
        <v>8822.4</v>
      </c>
      <c r="S14" s="17">
        <f t="shared" si="5"/>
        <v>8822.4</v>
      </c>
      <c r="T14" s="17">
        <f t="shared" si="5"/>
        <v>8822.4</v>
      </c>
      <c r="U14" s="15">
        <f t="shared" si="3"/>
        <v>49999.66</v>
      </c>
      <c r="V14" s="15">
        <f t="shared" si="4"/>
        <v>0.33999999999650754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48"/>
      <c r="N15" s="48"/>
      <c r="O15" s="48"/>
      <c r="P15" s="17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49"/>
      <c r="N16" s="49"/>
      <c r="O16" s="49"/>
      <c r="P16" s="21">
        <v>1000</v>
      </c>
      <c r="Q16" s="21"/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49"/>
      <c r="N17" s="49"/>
      <c r="O17" s="49"/>
      <c r="P17" s="21">
        <v>1000</v>
      </c>
      <c r="Q17" s="21"/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49"/>
      <c r="N18" s="49"/>
      <c r="O18" s="49"/>
      <c r="P18" s="21">
        <v>1000</v>
      </c>
      <c r="Q18" s="21"/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59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752423.22</v>
      </c>
      <c r="N20" s="36">
        <f t="shared" si="6"/>
        <v>46338.19</v>
      </c>
      <c r="O20" s="36">
        <f t="shared" si="6"/>
        <v>172336.23</v>
      </c>
      <c r="P20" s="36">
        <f t="shared" si="6"/>
        <v>32549622.399999999</v>
      </c>
      <c r="Q20" s="36">
        <f t="shared" si="6"/>
        <v>546622.4</v>
      </c>
      <c r="R20" s="36">
        <f t="shared" si="6"/>
        <v>546622.4</v>
      </c>
      <c r="S20" s="36">
        <f t="shared" si="6"/>
        <v>546622.4</v>
      </c>
      <c r="T20" s="37">
        <f t="shared" si="6"/>
        <v>546622.4</v>
      </c>
      <c r="U20" s="23">
        <f t="shared" si="6"/>
        <v>211053927.66</v>
      </c>
      <c r="V20" s="23">
        <f t="shared" si="6"/>
        <v>-3999999.66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51"/>
      <c r="O25" s="51"/>
      <c r="P25" s="13">
        <f>4800000/4</f>
        <v>1200000</v>
      </c>
      <c r="Q25" s="13">
        <f t="shared" ref="Q25:S25" si="7">4800000/4</f>
        <v>1200000</v>
      </c>
      <c r="R25" s="13">
        <f t="shared" si="7"/>
        <v>1200000</v>
      </c>
      <c r="S25" s="13">
        <f t="shared" si="7"/>
        <v>1200000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51"/>
      <c r="O26" s="51"/>
      <c r="P26" s="13">
        <f>18000000/4</f>
        <v>4500000</v>
      </c>
      <c r="Q26" s="13">
        <f t="shared" ref="Q26:S26" si="8">18000000/4</f>
        <v>4500000</v>
      </c>
      <c r="R26" s="13">
        <f t="shared" si="8"/>
        <v>4500000</v>
      </c>
      <c r="S26" s="13">
        <f t="shared" si="8"/>
        <v>4500000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48"/>
      <c r="N27" s="48"/>
      <c r="O27" s="48"/>
      <c r="P27" s="17">
        <f>8600000/4</f>
        <v>2150000</v>
      </c>
      <c r="Q27" s="17">
        <f t="shared" ref="Q27:S27" si="10">8600000/4</f>
        <v>2150000</v>
      </c>
      <c r="R27" s="17">
        <f t="shared" si="10"/>
        <v>2150000</v>
      </c>
      <c r="S27" s="17">
        <f t="shared" si="10"/>
        <v>2150000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9"/>
        <v>15000000</v>
      </c>
      <c r="I28" s="45"/>
      <c r="J28" s="48"/>
      <c r="K28" s="48"/>
      <c r="L28" s="48"/>
      <c r="M28" s="48"/>
      <c r="N28" s="48"/>
      <c r="O28" s="48"/>
      <c r="P28" s="17">
        <f>15000000/4</f>
        <v>3750000</v>
      </c>
      <c r="Q28" s="17">
        <f t="shared" ref="Q28:S28" si="13">15000000/4</f>
        <v>3750000</v>
      </c>
      <c r="R28" s="17">
        <f t="shared" si="13"/>
        <v>3750000</v>
      </c>
      <c r="S28" s="17">
        <f t="shared" si="13"/>
        <v>3750000</v>
      </c>
      <c r="T28" s="41"/>
      <c r="U28" s="15">
        <f t="shared" si="11"/>
        <v>15000000</v>
      </c>
      <c r="V28" s="53">
        <f t="shared" si="12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48"/>
      <c r="N29" s="48"/>
      <c r="O29" s="48"/>
      <c r="P29" s="17">
        <f>12500000/4</f>
        <v>3125000</v>
      </c>
      <c r="Q29" s="17">
        <f t="shared" ref="Q29:S29" si="14">12500000/4</f>
        <v>3125000</v>
      </c>
      <c r="R29" s="17">
        <f t="shared" si="14"/>
        <v>3125000</v>
      </c>
      <c r="S29" s="17">
        <f t="shared" si="14"/>
        <v>3125000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48"/>
      <c r="N30" s="48"/>
      <c r="O30" s="48"/>
      <c r="P30" s="17">
        <f>12000000/4</f>
        <v>3000000</v>
      </c>
      <c r="Q30" s="17">
        <f t="shared" ref="Q30:S30" si="15">12000000/4</f>
        <v>3000000</v>
      </c>
      <c r="R30" s="17">
        <f t="shared" si="15"/>
        <v>3000000</v>
      </c>
      <c r="S30" s="17">
        <f t="shared" si="15"/>
        <v>3000000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48"/>
      <c r="N31" s="48"/>
      <c r="O31" s="48"/>
      <c r="P31" s="17">
        <f>1000/4</f>
        <v>250</v>
      </c>
      <c r="Q31" s="17">
        <f t="shared" ref="Q31:S31" si="16">1000/4</f>
        <v>250</v>
      </c>
      <c r="R31" s="17">
        <f t="shared" si="16"/>
        <v>250</v>
      </c>
      <c r="S31" s="17">
        <f t="shared" si="16"/>
        <v>250</v>
      </c>
      <c r="T31" s="41"/>
      <c r="U31" s="15">
        <f t="shared" si="11"/>
        <v>1000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48"/>
      <c r="N32" s="48"/>
      <c r="O32" s="48"/>
      <c r="P32" s="17">
        <f>50000/4</f>
        <v>12500</v>
      </c>
      <c r="Q32" s="17">
        <f t="shared" ref="Q32:S32" si="17">50000/4</f>
        <v>12500</v>
      </c>
      <c r="R32" s="17">
        <f t="shared" si="17"/>
        <v>12500</v>
      </c>
      <c r="S32" s="17">
        <f t="shared" si="17"/>
        <v>12500</v>
      </c>
      <c r="T32" s="41"/>
      <c r="U32" s="15">
        <f t="shared" si="11"/>
        <v>50000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9"/>
        <v>10629373</v>
      </c>
      <c r="I33" s="45"/>
      <c r="J33" s="48"/>
      <c r="K33" s="48"/>
      <c r="L33" s="48"/>
      <c r="M33" s="48"/>
      <c r="N33" s="48"/>
      <c r="O33" s="48"/>
      <c r="P33" s="17">
        <f>10629373/4</f>
        <v>2657343.25</v>
      </c>
      <c r="Q33" s="17">
        <f t="shared" ref="Q33:S33" si="18">10629373/4</f>
        <v>2657343.25</v>
      </c>
      <c r="R33" s="17">
        <f t="shared" si="18"/>
        <v>2657343.25</v>
      </c>
      <c r="S33" s="17">
        <f t="shared" si="18"/>
        <v>2657343.25</v>
      </c>
      <c r="T33" s="41"/>
      <c r="U33" s="15">
        <f t="shared" si="11"/>
        <v>10629373</v>
      </c>
      <c r="V33" s="53">
        <f t="shared" si="12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9"/>
        <v>5348956</v>
      </c>
      <c r="I34" s="45"/>
      <c r="J34" s="48"/>
      <c r="K34" s="48"/>
      <c r="L34" s="48"/>
      <c r="M34" s="48"/>
      <c r="N34" s="48"/>
      <c r="O34" s="48"/>
      <c r="P34" s="17">
        <f>5348956/4</f>
        <v>1337239</v>
      </c>
      <c r="Q34" s="17">
        <f t="shared" ref="Q34:S34" si="19">5348956/4</f>
        <v>1337239</v>
      </c>
      <c r="R34" s="17">
        <f t="shared" si="19"/>
        <v>1337239</v>
      </c>
      <c r="S34" s="17">
        <f t="shared" si="19"/>
        <v>1337239</v>
      </c>
      <c r="T34" s="41"/>
      <c r="U34" s="15">
        <f t="shared" si="11"/>
        <v>5348956</v>
      </c>
      <c r="V34" s="53">
        <f t="shared" si="12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48"/>
      <c r="N35" s="48"/>
      <c r="O35" s="48"/>
      <c r="P35" s="17">
        <f>21638005/4</f>
        <v>5409501.25</v>
      </c>
      <c r="Q35" s="17">
        <f t="shared" ref="Q35:S35" si="20">21638005/4</f>
        <v>5409501.25</v>
      </c>
      <c r="R35" s="17">
        <f t="shared" si="20"/>
        <v>5409501.25</v>
      </c>
      <c r="S35" s="17">
        <f t="shared" si="20"/>
        <v>5409501.25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48"/>
      <c r="N36" s="48"/>
      <c r="O36" s="48"/>
      <c r="P36" s="17">
        <f>6600000/4</f>
        <v>1650000</v>
      </c>
      <c r="Q36" s="17">
        <f t="shared" ref="Q36:S36" si="21">6600000/4</f>
        <v>1650000</v>
      </c>
      <c r="R36" s="17">
        <f t="shared" si="21"/>
        <v>1650000</v>
      </c>
      <c r="S36" s="17">
        <f t="shared" si="21"/>
        <v>1650000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48"/>
      <c r="N37" s="48"/>
      <c r="O37" s="48"/>
      <c r="P37" s="17">
        <f>3700000/4</f>
        <v>925000</v>
      </c>
      <c r="Q37" s="17">
        <f t="shared" ref="Q37:S37" si="22">3700000/4</f>
        <v>925000</v>
      </c>
      <c r="R37" s="17">
        <f t="shared" si="22"/>
        <v>925000</v>
      </c>
      <c r="S37" s="17">
        <f t="shared" si="22"/>
        <v>925000</v>
      </c>
      <c r="T37" s="41"/>
      <c r="U37" s="15">
        <f t="shared" si="11"/>
        <v>3700000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48"/>
      <c r="N38" s="48">
        <v>4070000</v>
      </c>
      <c r="O38" s="48"/>
      <c r="P38" s="17">
        <f>41271/4</f>
        <v>10317.75</v>
      </c>
      <c r="Q38" s="17">
        <f t="shared" ref="Q38:S38" si="23">41271/4</f>
        <v>10317.75</v>
      </c>
      <c r="R38" s="17">
        <f t="shared" si="23"/>
        <v>10317.75</v>
      </c>
      <c r="S38" s="17">
        <f t="shared" si="23"/>
        <v>10317.75</v>
      </c>
      <c r="T38" s="41"/>
      <c r="U38" s="15">
        <f t="shared" si="11"/>
        <v>4111271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9"/>
        <v>5000000</v>
      </c>
      <c r="I39" s="45"/>
      <c r="J39" s="48"/>
      <c r="K39" s="48"/>
      <c r="L39" s="48"/>
      <c r="M39" s="48"/>
      <c r="N39" s="48"/>
      <c r="O39" s="48"/>
      <c r="P39" s="17">
        <f>5000000/4</f>
        <v>1250000</v>
      </c>
      <c r="Q39" s="17">
        <f t="shared" ref="Q39:S39" si="24">5000000/4</f>
        <v>1250000</v>
      </c>
      <c r="R39" s="17">
        <f t="shared" si="24"/>
        <v>1250000</v>
      </c>
      <c r="S39" s="17">
        <f t="shared" si="24"/>
        <v>1250000</v>
      </c>
      <c r="T39" s="17"/>
      <c r="U39" s="15">
        <f t="shared" si="11"/>
        <v>5000000</v>
      </c>
      <c r="V39" s="53">
        <f t="shared" si="12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48"/>
      <c r="O40" s="48">
        <v>93000</v>
      </c>
      <c r="P40" s="17">
        <f>816641/5</f>
        <v>163328.20000000001</v>
      </c>
      <c r="Q40" s="17">
        <f t="shared" ref="Q40:T40" si="25">816641/5</f>
        <v>163328.20000000001</v>
      </c>
      <c r="R40" s="17">
        <f t="shared" si="25"/>
        <v>163328.20000000001</v>
      </c>
      <c r="S40" s="17">
        <f t="shared" si="25"/>
        <v>163328.20000000001</v>
      </c>
      <c r="T40" s="17">
        <f t="shared" si="25"/>
        <v>163328.20000000001</v>
      </c>
      <c r="U40" s="15">
        <f t="shared" si="11"/>
        <v>1499999.5299999998</v>
      </c>
      <c r="V40" s="53">
        <f t="shared" si="12"/>
        <v>0.47000000020489097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48">
        <v>96747</v>
      </c>
      <c r="N41" s="48">
        <v>104839</v>
      </c>
      <c r="O41" s="48">
        <v>3747</v>
      </c>
      <c r="P41" s="17">
        <f>89401/5</f>
        <v>17880.2</v>
      </c>
      <c r="Q41" s="17">
        <f t="shared" ref="Q41:T41" si="26">89401/5</f>
        <v>17880.2</v>
      </c>
      <c r="R41" s="17">
        <f t="shared" si="26"/>
        <v>17880.2</v>
      </c>
      <c r="S41" s="17">
        <f t="shared" si="26"/>
        <v>17880.2</v>
      </c>
      <c r="T41" s="17">
        <f t="shared" si="26"/>
        <v>17880.2</v>
      </c>
      <c r="U41" s="15">
        <f t="shared" si="11"/>
        <v>314964.00000000006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48"/>
      <c r="N42" s="48"/>
      <c r="O42" s="48">
        <v>4413546</v>
      </c>
      <c r="P42" s="17">
        <f>1086454/4</f>
        <v>271613.5</v>
      </c>
      <c r="Q42" s="17">
        <f t="shared" ref="Q42:S42" si="27">1086454/4</f>
        <v>271613.5</v>
      </c>
      <c r="R42" s="17">
        <f t="shared" si="27"/>
        <v>271613.5</v>
      </c>
      <c r="S42" s="17">
        <f t="shared" si="27"/>
        <v>271613.5</v>
      </c>
      <c r="T42" s="41"/>
      <c r="U42" s="15">
        <f t="shared" si="11"/>
        <v>5500000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48">
        <v>4800000</v>
      </c>
      <c r="N43" s="48"/>
      <c r="O43" s="48"/>
      <c r="P43" s="17">
        <f>24200000/4</f>
        <v>6050000</v>
      </c>
      <c r="Q43" s="17">
        <f t="shared" ref="Q43:S43" si="28">24200000/4</f>
        <v>6050000</v>
      </c>
      <c r="R43" s="17">
        <f t="shared" si="28"/>
        <v>6050000</v>
      </c>
      <c r="S43" s="17">
        <f t="shared" si="28"/>
        <v>6050000</v>
      </c>
      <c r="T43" s="41"/>
      <c r="U43" s="15">
        <f t="shared" si="11"/>
        <v>29000000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48"/>
      <c r="N44" s="48"/>
      <c r="O44" s="48"/>
      <c r="P44" s="17"/>
      <c r="Q44" s="17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48"/>
      <c r="N45" s="48"/>
      <c r="O45" s="48"/>
      <c r="P45" s="17">
        <f>1900000/4</f>
        <v>475000</v>
      </c>
      <c r="Q45" s="17">
        <f t="shared" ref="Q45:S45" si="29">1900000/4</f>
        <v>475000</v>
      </c>
      <c r="R45" s="17">
        <f t="shared" si="29"/>
        <v>475000</v>
      </c>
      <c r="S45" s="17">
        <f t="shared" si="29"/>
        <v>475000</v>
      </c>
      <c r="T45" s="41"/>
      <c r="U45" s="15">
        <f t="shared" si="11"/>
        <v>1900000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48"/>
      <c r="N46" s="48"/>
      <c r="O46" s="48">
        <v>3200000</v>
      </c>
      <c r="P46" s="17">
        <f t="shared" ref="P46:S46" si="30">16000000/5</f>
        <v>3200000</v>
      </c>
      <c r="Q46" s="17">
        <f t="shared" si="30"/>
        <v>3200000</v>
      </c>
      <c r="R46" s="17">
        <f t="shared" si="30"/>
        <v>3200000</v>
      </c>
      <c r="S46" s="17">
        <f t="shared" si="30"/>
        <v>3200000</v>
      </c>
      <c r="T46" s="41"/>
      <c r="U46" s="15">
        <f t="shared" si="11"/>
        <v>16000000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48"/>
      <c r="N47" s="48"/>
      <c r="O47" s="48">
        <v>2153500</v>
      </c>
      <c r="P47" s="17">
        <f>4446500/4</f>
        <v>1111625</v>
      </c>
      <c r="Q47" s="17">
        <f t="shared" ref="Q47:S47" si="31">4446500/4</f>
        <v>1111625</v>
      </c>
      <c r="R47" s="17">
        <f t="shared" si="31"/>
        <v>1111625</v>
      </c>
      <c r="S47" s="17">
        <f t="shared" si="31"/>
        <v>1111625</v>
      </c>
      <c r="T47" s="41"/>
      <c r="U47" s="15">
        <f t="shared" si="11"/>
        <v>6600000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48"/>
      <c r="N48" s="48"/>
      <c r="O48" s="48"/>
      <c r="P48" s="17">
        <f>2800000/4</f>
        <v>700000</v>
      </c>
      <c r="Q48" s="17">
        <f t="shared" ref="Q48:S48" si="32">2800000/4</f>
        <v>700000</v>
      </c>
      <c r="R48" s="17">
        <f t="shared" si="32"/>
        <v>700000</v>
      </c>
      <c r="S48" s="17">
        <f t="shared" si="32"/>
        <v>700000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48">
        <v>7612</v>
      </c>
      <c r="N49" s="48"/>
      <c r="O49" s="48"/>
      <c r="P49" s="17">
        <f>3692388/5</f>
        <v>738477.6</v>
      </c>
      <c r="Q49" s="17">
        <f t="shared" ref="Q49:T49" si="33">3692388/5</f>
        <v>738477.6</v>
      </c>
      <c r="R49" s="17">
        <f t="shared" si="33"/>
        <v>738477.6</v>
      </c>
      <c r="S49" s="17">
        <f t="shared" si="33"/>
        <v>738477.6</v>
      </c>
      <c r="T49" s="17">
        <f t="shared" si="33"/>
        <v>738477.6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48">
        <v>327969</v>
      </c>
      <c r="O50" s="48">
        <v>235029</v>
      </c>
      <c r="P50" s="17">
        <f>1886875/5</f>
        <v>377375</v>
      </c>
      <c r="Q50" s="17">
        <f t="shared" ref="Q50:T50" si="34">1886875/5</f>
        <v>377375</v>
      </c>
      <c r="R50" s="17">
        <f t="shared" si="34"/>
        <v>377375</v>
      </c>
      <c r="S50" s="17">
        <f t="shared" si="34"/>
        <v>377375</v>
      </c>
      <c r="T50" s="17">
        <f t="shared" si="34"/>
        <v>377375</v>
      </c>
      <c r="U50" s="15">
        <f t="shared" si="11"/>
        <v>3700000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48"/>
      <c r="N51" s="48"/>
      <c r="O51" s="48">
        <v>300000</v>
      </c>
      <c r="P51" s="17"/>
      <c r="Q51" s="17"/>
      <c r="R51" s="17"/>
      <c r="S51" s="17"/>
      <c r="T51" s="17"/>
      <c r="U51" s="15">
        <f t="shared" si="11"/>
        <v>300000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48">
        <v>529317</v>
      </c>
      <c r="N52" s="48"/>
      <c r="O52" s="48">
        <v>23582</v>
      </c>
      <c r="P52" s="17">
        <f>1/5</f>
        <v>0.2</v>
      </c>
      <c r="Q52" s="17">
        <f t="shared" ref="Q52:T52" si="35">1/5</f>
        <v>0.2</v>
      </c>
      <c r="R52" s="17">
        <f t="shared" si="35"/>
        <v>0.2</v>
      </c>
      <c r="S52" s="17">
        <f t="shared" si="35"/>
        <v>0.2</v>
      </c>
      <c r="T52" s="17">
        <f t="shared" si="35"/>
        <v>0.2</v>
      </c>
      <c r="U52" s="15">
        <f t="shared" si="11"/>
        <v>959358.99999999977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9"/>
        <v>2000000</v>
      </c>
      <c r="I53" s="45"/>
      <c r="J53" s="48"/>
      <c r="K53" s="48"/>
      <c r="L53" s="48"/>
      <c r="M53" s="48"/>
      <c r="N53" s="48"/>
      <c r="O53" s="48"/>
      <c r="P53" s="17">
        <f>2000000/4</f>
        <v>500000</v>
      </c>
      <c r="Q53" s="17">
        <f t="shared" ref="Q53:S53" si="36">2000000/4</f>
        <v>500000</v>
      </c>
      <c r="R53" s="17">
        <f t="shared" si="36"/>
        <v>500000</v>
      </c>
      <c r="S53" s="17">
        <f t="shared" si="36"/>
        <v>500000</v>
      </c>
      <c r="T53" s="17"/>
      <c r="U53" s="15">
        <f t="shared" si="11"/>
        <v>2000000</v>
      </c>
      <c r="V53" s="53">
        <f t="shared" si="12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48"/>
      <c r="N54" s="48"/>
      <c r="O54" s="48"/>
      <c r="P54" s="17">
        <f>1000/5</f>
        <v>200</v>
      </c>
      <c r="Q54" s="17">
        <f t="shared" ref="Q54:T54" si="37">1000/5</f>
        <v>200</v>
      </c>
      <c r="R54" s="17">
        <f t="shared" si="37"/>
        <v>200</v>
      </c>
      <c r="S54" s="17">
        <f t="shared" si="37"/>
        <v>200</v>
      </c>
      <c r="T54" s="17">
        <f t="shared" si="37"/>
        <v>200</v>
      </c>
      <c r="U54" s="11">
        <f t="shared" si="11"/>
        <v>1000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38">SUM(C25:C55)</f>
        <v>129053000</v>
      </c>
      <c r="D56" s="24">
        <f t="shared" si="38"/>
        <v>78000928</v>
      </c>
      <c r="E56" s="25">
        <f t="shared" si="38"/>
        <v>0</v>
      </c>
      <c r="F56" s="25">
        <f t="shared" si="38"/>
        <v>0</v>
      </c>
      <c r="G56" s="26">
        <f t="shared" si="38"/>
        <v>0</v>
      </c>
      <c r="H56" s="23">
        <f t="shared" si="38"/>
        <v>207053928</v>
      </c>
      <c r="I56" s="35">
        <f t="shared" si="38"/>
        <v>726807</v>
      </c>
      <c r="J56" s="36">
        <f t="shared" si="38"/>
        <v>532166</v>
      </c>
      <c r="K56" s="36">
        <f t="shared" si="38"/>
        <v>2997485.53</v>
      </c>
      <c r="L56" s="36">
        <f t="shared" si="38"/>
        <v>2810716</v>
      </c>
      <c r="M56" s="36">
        <f t="shared" si="38"/>
        <v>5433676</v>
      </c>
      <c r="N56" s="36">
        <f t="shared" si="38"/>
        <v>4502808</v>
      </c>
      <c r="O56" s="36">
        <f t="shared" si="38"/>
        <v>10422404</v>
      </c>
      <c r="P56" s="36">
        <f t="shared" si="38"/>
        <v>44582650.950000003</v>
      </c>
      <c r="Q56" s="36">
        <f t="shared" si="38"/>
        <v>44582650.950000003</v>
      </c>
      <c r="R56" s="36">
        <f t="shared" si="38"/>
        <v>44582650.950000003</v>
      </c>
      <c r="S56" s="36">
        <f t="shared" si="38"/>
        <v>44582650.950000003</v>
      </c>
      <c r="T56" s="57">
        <f t="shared" si="38"/>
        <v>1297261.2</v>
      </c>
      <c r="U56" s="23">
        <f t="shared" si="38"/>
        <v>207053927.53</v>
      </c>
      <c r="V56" s="58">
        <f t="shared" si="38"/>
        <v>0.47000000020489097</v>
      </c>
    </row>
    <row r="60" spans="1:22" ht="24" x14ac:dyDescent="0.25">
      <c r="B60" s="103" t="s">
        <v>120</v>
      </c>
    </row>
    <row r="61" spans="1:22" x14ac:dyDescent="0.25">
      <c r="B61" s="101"/>
    </row>
    <row r="63" spans="1:22" ht="12" customHeight="1" x14ac:dyDescent="0.25">
      <c r="A63" s="102" t="s">
        <v>118</v>
      </c>
      <c r="B63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52" zoomScale="97" zoomScaleNormal="97" workbookViewId="0">
      <selection activeCell="H63" sqref="H63"/>
    </sheetView>
  </sheetViews>
  <sheetFormatPr baseColWidth="10" defaultColWidth="11.42578125" defaultRowHeight="12.75" x14ac:dyDescent="0.25"/>
  <cols>
    <col min="1" max="1" width="17.85546875" style="1" customWidth="1"/>
    <col min="2" max="2" width="34.140625" style="1" customWidth="1"/>
    <col min="3" max="3" width="17" style="1" customWidth="1"/>
    <col min="4" max="4" width="10.7109375" style="1" customWidth="1"/>
    <col min="5" max="6" width="3.7109375" style="1" customWidth="1"/>
    <col min="7" max="7" width="4.7109375" style="1" customWidth="1"/>
    <col min="8" max="8" width="17.140625" style="1" customWidth="1"/>
    <col min="9" max="9" width="11.85546875" style="1" customWidth="1"/>
    <col min="10" max="10" width="10.28515625" style="1" customWidth="1"/>
    <col min="11" max="11" width="11.7109375" style="1" customWidth="1"/>
    <col min="12" max="12" width="9.7109375" style="1" customWidth="1"/>
    <col min="13" max="19" width="10.7109375" style="1" customWidth="1"/>
    <col min="20" max="20" width="9.85546875" style="1" customWidth="1"/>
    <col min="21" max="21" width="14.140625" style="1" customWidth="1"/>
    <col min="22" max="22" width="13.85546875" style="1" customWidth="1"/>
    <col min="23" max="23" width="11.5703125" style="1" bestFit="1" customWidth="1"/>
    <col min="24" max="16384" width="11.42578125" style="1"/>
  </cols>
  <sheetData>
    <row r="1" spans="1:22" ht="12.75" customHeight="1" x14ac:dyDescent="0.2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13.5" thickBot="1" x14ac:dyDescent="0.3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2.75" customHeight="1" x14ac:dyDescent="0.25">
      <c r="A6" s="75" t="s">
        <v>2</v>
      </c>
      <c r="B6" s="70" t="s">
        <v>3</v>
      </c>
      <c r="C6" s="64" t="s">
        <v>4</v>
      </c>
      <c r="D6" s="75" t="s">
        <v>5</v>
      </c>
      <c r="E6" s="76"/>
      <c r="F6" s="76"/>
      <c r="G6" s="77"/>
      <c r="H6" s="64" t="s">
        <v>8</v>
      </c>
      <c r="I6" s="72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8" t="s">
        <v>19</v>
      </c>
      <c r="T6" s="70" t="s">
        <v>20</v>
      </c>
      <c r="U6" s="64" t="s">
        <v>21</v>
      </c>
      <c r="V6" s="64" t="s">
        <v>22</v>
      </c>
    </row>
    <row r="7" spans="1:22" ht="13.5" customHeight="1" thickBot="1" x14ac:dyDescent="0.3">
      <c r="A7" s="91"/>
      <c r="B7" s="74"/>
      <c r="C7" s="65"/>
      <c r="D7" s="91" t="s">
        <v>6</v>
      </c>
      <c r="E7" s="92"/>
      <c r="F7" s="92" t="s">
        <v>7</v>
      </c>
      <c r="G7" s="93"/>
      <c r="H7" s="65"/>
      <c r="I7" s="78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5"/>
      <c r="V7" s="65"/>
    </row>
    <row r="8" spans="1:22" ht="25.5" x14ac:dyDescent="0.25">
      <c r="A8" s="2" t="s">
        <v>70</v>
      </c>
      <c r="B8" s="3" t="s">
        <v>71</v>
      </c>
      <c r="C8" s="11">
        <v>2500000</v>
      </c>
      <c r="D8" s="81"/>
      <c r="E8" s="82"/>
      <c r="F8" s="82"/>
      <c r="G8" s="89"/>
      <c r="H8" s="27">
        <f>C8+D8-F8</f>
        <v>2500000</v>
      </c>
      <c r="I8" s="44">
        <v>620000</v>
      </c>
      <c r="J8" s="47">
        <v>211000</v>
      </c>
      <c r="K8" s="47">
        <v>105000</v>
      </c>
      <c r="L8" s="47">
        <v>97000</v>
      </c>
      <c r="M8" s="47">
        <v>91000</v>
      </c>
      <c r="N8" s="47">
        <v>45000</v>
      </c>
      <c r="O8" s="47">
        <v>171000</v>
      </c>
      <c r="P8" s="47">
        <v>234000</v>
      </c>
      <c r="Q8" s="29">
        <f>926000/4</f>
        <v>231500</v>
      </c>
      <c r="R8" s="29">
        <f t="shared" ref="R8:T8" si="0">926000/4</f>
        <v>231500</v>
      </c>
      <c r="S8" s="29">
        <f t="shared" si="0"/>
        <v>231500</v>
      </c>
      <c r="T8" s="29">
        <f t="shared" si="0"/>
        <v>231500</v>
      </c>
      <c r="U8" s="11">
        <f>SUM(I8:T8)</f>
        <v>2500000</v>
      </c>
      <c r="V8" s="11">
        <f>H8-U8</f>
        <v>0</v>
      </c>
    </row>
    <row r="9" spans="1:22" ht="25.5" x14ac:dyDescent="0.25">
      <c r="A9" s="4" t="s">
        <v>72</v>
      </c>
      <c r="B9" s="5" t="s">
        <v>73</v>
      </c>
      <c r="C9" s="15">
        <v>5500000</v>
      </c>
      <c r="D9" s="83"/>
      <c r="E9" s="84"/>
      <c r="F9" s="84"/>
      <c r="G9" s="85"/>
      <c r="H9" s="31">
        <f t="shared" ref="H9:H19" si="1">C9+D9-F9</f>
        <v>5500000</v>
      </c>
      <c r="I9" s="45">
        <v>1760000</v>
      </c>
      <c r="J9" s="48">
        <v>231000</v>
      </c>
      <c r="K9" s="48">
        <v>660000</v>
      </c>
      <c r="L9" s="48">
        <v>660000</v>
      </c>
      <c r="M9" s="48">
        <v>660000</v>
      </c>
      <c r="N9" s="48"/>
      <c r="O9" s="48"/>
      <c r="P9" s="48">
        <v>1100000</v>
      </c>
      <c r="Q9" s="17">
        <f>429000/3</f>
        <v>143000</v>
      </c>
      <c r="R9" s="17">
        <f t="shared" ref="R9:S9" si="2">429000/3</f>
        <v>143000</v>
      </c>
      <c r="S9" s="17">
        <f t="shared" si="2"/>
        <v>143000</v>
      </c>
      <c r="T9" s="17"/>
      <c r="U9" s="15">
        <f t="shared" ref="U9:U19" si="3">SUM(I9:T9)</f>
        <v>5500000</v>
      </c>
      <c r="V9" s="15">
        <f t="shared" ref="V9:V19" si="4">H9-U9</f>
        <v>0</v>
      </c>
    </row>
    <row r="10" spans="1:22" ht="25.5" x14ac:dyDescent="0.25">
      <c r="A10" s="4" t="s">
        <v>74</v>
      </c>
      <c r="B10" s="5" t="s">
        <v>75</v>
      </c>
      <c r="C10" s="15">
        <v>89000000</v>
      </c>
      <c r="D10" s="83">
        <v>1238005</v>
      </c>
      <c r="E10" s="84"/>
      <c r="F10" s="84"/>
      <c r="G10" s="85"/>
      <c r="H10" s="31">
        <f t="shared" si="1"/>
        <v>90238005</v>
      </c>
      <c r="I10" s="45"/>
      <c r="J10" s="48"/>
      <c r="K10" s="48">
        <v>90238005</v>
      </c>
      <c r="L10" s="48"/>
      <c r="M10" s="48"/>
      <c r="N10" s="48"/>
      <c r="O10" s="48"/>
      <c r="P10" s="48"/>
      <c r="Q10" s="17"/>
      <c r="R10" s="17"/>
      <c r="S10" s="17"/>
      <c r="T10" s="18"/>
      <c r="U10" s="15">
        <f t="shared" si="3"/>
        <v>90238005</v>
      </c>
      <c r="V10" s="15">
        <f t="shared" si="4"/>
        <v>0</v>
      </c>
    </row>
    <row r="11" spans="1:22" ht="25.5" x14ac:dyDescent="0.25">
      <c r="A11" s="4" t="s">
        <v>95</v>
      </c>
      <c r="B11" s="50" t="s">
        <v>97</v>
      </c>
      <c r="C11" s="15">
        <v>0</v>
      </c>
      <c r="D11" s="94">
        <v>30629373</v>
      </c>
      <c r="E11" s="95"/>
      <c r="F11" s="84"/>
      <c r="G11" s="85"/>
      <c r="H11" s="31">
        <f t="shared" si="1"/>
        <v>30629373</v>
      </c>
      <c r="I11" s="45"/>
      <c r="J11" s="48"/>
      <c r="K11" s="48">
        <v>30629373</v>
      </c>
      <c r="L11" s="48"/>
      <c r="M11" s="48"/>
      <c r="N11" s="48"/>
      <c r="O11" s="48"/>
      <c r="P11" s="48"/>
      <c r="Q11" s="17"/>
      <c r="R11" s="17"/>
      <c r="S11" s="17"/>
      <c r="T11" s="18"/>
      <c r="U11" s="15">
        <f>SUM(I11:T11)</f>
        <v>30629373</v>
      </c>
      <c r="V11" s="15">
        <f t="shared" si="4"/>
        <v>0</v>
      </c>
    </row>
    <row r="12" spans="1:22" ht="25.5" x14ac:dyDescent="0.25">
      <c r="A12" s="4" t="s">
        <v>96</v>
      </c>
      <c r="B12" s="50" t="s">
        <v>98</v>
      </c>
      <c r="C12" s="15">
        <v>0</v>
      </c>
      <c r="D12" s="94">
        <v>25348956</v>
      </c>
      <c r="E12" s="95"/>
      <c r="F12" s="84"/>
      <c r="G12" s="85"/>
      <c r="H12" s="31">
        <f t="shared" si="1"/>
        <v>25348956</v>
      </c>
      <c r="I12" s="45"/>
      <c r="J12" s="48"/>
      <c r="K12" s="48">
        <v>25348956</v>
      </c>
      <c r="L12" s="48"/>
      <c r="M12" s="48"/>
      <c r="N12" s="48"/>
      <c r="O12" s="48"/>
      <c r="P12" s="48"/>
      <c r="Q12" s="17"/>
      <c r="R12" s="17"/>
      <c r="S12" s="17"/>
      <c r="T12" s="18"/>
      <c r="U12" s="15">
        <f t="shared" si="3"/>
        <v>25348956</v>
      </c>
      <c r="V12" s="15">
        <f t="shared" si="4"/>
        <v>0</v>
      </c>
    </row>
    <row r="13" spans="1:22" ht="25.5" x14ac:dyDescent="0.25">
      <c r="A13" s="4" t="s">
        <v>76</v>
      </c>
      <c r="B13" s="5" t="s">
        <v>77</v>
      </c>
      <c r="C13" s="15">
        <v>32000000</v>
      </c>
      <c r="D13" s="83"/>
      <c r="E13" s="84"/>
      <c r="F13" s="84"/>
      <c r="G13" s="85"/>
      <c r="H13" s="31">
        <f t="shared" si="1"/>
        <v>32000000</v>
      </c>
      <c r="I13" s="45"/>
      <c r="J13" s="48"/>
      <c r="K13" s="48"/>
      <c r="L13" s="48"/>
      <c r="M13" s="48"/>
      <c r="N13" s="48"/>
      <c r="O13" s="48"/>
      <c r="P13" s="48">
        <v>31780000</v>
      </c>
      <c r="Q13" s="17">
        <v>220000</v>
      </c>
      <c r="R13" s="17"/>
      <c r="S13" s="17"/>
      <c r="T13" s="18"/>
      <c r="U13" s="15">
        <f t="shared" si="3"/>
        <v>32000000</v>
      </c>
      <c r="V13" s="15">
        <f t="shared" si="4"/>
        <v>0</v>
      </c>
    </row>
    <row r="14" spans="1:22" x14ac:dyDescent="0.25">
      <c r="A14" s="4" t="s">
        <v>28</v>
      </c>
      <c r="B14" s="5" t="s">
        <v>29</v>
      </c>
      <c r="C14" s="15">
        <v>50000</v>
      </c>
      <c r="D14" s="83"/>
      <c r="E14" s="84"/>
      <c r="F14" s="84"/>
      <c r="G14" s="85"/>
      <c r="H14" s="31">
        <f t="shared" si="1"/>
        <v>50000</v>
      </c>
      <c r="I14" s="45">
        <v>197.4</v>
      </c>
      <c r="J14" s="48">
        <v>81.209999999999994</v>
      </c>
      <c r="K14" s="48">
        <v>124.21</v>
      </c>
      <c r="L14" s="48">
        <v>1387.2</v>
      </c>
      <c r="M14" s="48">
        <v>1423.22</v>
      </c>
      <c r="N14" s="48">
        <v>1338.19</v>
      </c>
      <c r="O14" s="48">
        <v>1336.23</v>
      </c>
      <c r="P14" s="48">
        <v>1285.6099999999999</v>
      </c>
      <c r="Q14" s="17">
        <f>42827/4</f>
        <v>10706.75</v>
      </c>
      <c r="R14" s="17">
        <f t="shared" ref="R14:T14" si="5">42827/4</f>
        <v>10706.75</v>
      </c>
      <c r="S14" s="17">
        <f t="shared" si="5"/>
        <v>10706.75</v>
      </c>
      <c r="T14" s="17">
        <f t="shared" si="5"/>
        <v>10706.75</v>
      </c>
      <c r="U14" s="15">
        <f t="shared" si="3"/>
        <v>50000.270000000004</v>
      </c>
      <c r="V14" s="15">
        <f t="shared" si="4"/>
        <v>-0.27000000000407454</v>
      </c>
    </row>
    <row r="15" spans="1:22" ht="38.25" x14ac:dyDescent="0.25">
      <c r="A15" s="4" t="s">
        <v>93</v>
      </c>
      <c r="B15" s="5" t="s">
        <v>94</v>
      </c>
      <c r="C15" s="15">
        <v>0</v>
      </c>
      <c r="D15" s="83"/>
      <c r="E15" s="84"/>
      <c r="F15" s="84"/>
      <c r="G15" s="85"/>
      <c r="H15" s="31">
        <f t="shared" si="1"/>
        <v>0</v>
      </c>
      <c r="I15" s="45"/>
      <c r="J15" s="48"/>
      <c r="K15" s="48">
        <v>4000000</v>
      </c>
      <c r="L15" s="48"/>
      <c r="M15" s="48"/>
      <c r="N15" s="48"/>
      <c r="O15" s="48"/>
      <c r="P15" s="48"/>
      <c r="Q15" s="17"/>
      <c r="R15" s="17"/>
      <c r="S15" s="17"/>
      <c r="T15" s="17"/>
      <c r="U15" s="15">
        <f t="shared" si="3"/>
        <v>4000000</v>
      </c>
      <c r="V15" s="15">
        <f t="shared" si="4"/>
        <v>-4000000</v>
      </c>
    </row>
    <row r="16" spans="1:22" x14ac:dyDescent="0.25">
      <c r="A16" s="6" t="s">
        <v>30</v>
      </c>
      <c r="B16" s="7" t="s">
        <v>31</v>
      </c>
      <c r="C16" s="19">
        <v>1000</v>
      </c>
      <c r="D16" s="83">
        <v>4314964</v>
      </c>
      <c r="E16" s="84"/>
      <c r="F16" s="84"/>
      <c r="G16" s="85"/>
      <c r="H16" s="31">
        <f t="shared" si="1"/>
        <v>4315964</v>
      </c>
      <c r="I16" s="46">
        <v>4314964</v>
      </c>
      <c r="J16" s="49"/>
      <c r="K16" s="49"/>
      <c r="L16" s="49"/>
      <c r="M16" s="49"/>
      <c r="N16" s="49"/>
      <c r="O16" s="49"/>
      <c r="P16" s="49"/>
      <c r="Q16" s="21">
        <v>1000</v>
      </c>
      <c r="R16" s="21"/>
      <c r="S16" s="21"/>
      <c r="T16" s="22"/>
      <c r="U16" s="15">
        <f t="shared" si="3"/>
        <v>4315964</v>
      </c>
      <c r="V16" s="15">
        <f t="shared" si="4"/>
        <v>0</v>
      </c>
    </row>
    <row r="17" spans="1:22" x14ac:dyDescent="0.25">
      <c r="A17" s="6" t="s">
        <v>32</v>
      </c>
      <c r="B17" s="7" t="s">
        <v>33</v>
      </c>
      <c r="C17" s="19">
        <v>1000</v>
      </c>
      <c r="D17" s="83">
        <v>5759359</v>
      </c>
      <c r="E17" s="84"/>
      <c r="F17" s="84"/>
      <c r="G17" s="85"/>
      <c r="H17" s="31">
        <f t="shared" si="1"/>
        <v>5760359</v>
      </c>
      <c r="I17" s="46">
        <v>5759359</v>
      </c>
      <c r="J17" s="49"/>
      <c r="K17" s="49"/>
      <c r="L17" s="49"/>
      <c r="M17" s="49"/>
      <c r="N17" s="49"/>
      <c r="O17" s="49"/>
      <c r="P17" s="49"/>
      <c r="Q17" s="21">
        <v>1000</v>
      </c>
      <c r="R17" s="21"/>
      <c r="S17" s="21"/>
      <c r="T17" s="22"/>
      <c r="U17" s="15">
        <f t="shared" si="3"/>
        <v>5760359</v>
      </c>
      <c r="V17" s="15">
        <f t="shared" si="4"/>
        <v>0</v>
      </c>
    </row>
    <row r="18" spans="1:22" x14ac:dyDescent="0.25">
      <c r="A18" s="6" t="s">
        <v>34</v>
      </c>
      <c r="B18" s="7" t="s">
        <v>35</v>
      </c>
      <c r="C18" s="19">
        <v>1000</v>
      </c>
      <c r="D18" s="83">
        <v>10710271</v>
      </c>
      <c r="E18" s="84"/>
      <c r="F18" s="84"/>
      <c r="G18" s="85"/>
      <c r="H18" s="31">
        <f t="shared" si="1"/>
        <v>10711271</v>
      </c>
      <c r="I18" s="46">
        <v>10710271</v>
      </c>
      <c r="J18" s="49"/>
      <c r="K18" s="49"/>
      <c r="L18" s="49"/>
      <c r="M18" s="49"/>
      <c r="N18" s="49"/>
      <c r="O18" s="49"/>
      <c r="P18" s="49"/>
      <c r="Q18" s="21">
        <v>1000</v>
      </c>
      <c r="R18" s="21"/>
      <c r="S18" s="21"/>
      <c r="T18" s="22"/>
      <c r="U18" s="15">
        <f t="shared" si="3"/>
        <v>10711271</v>
      </c>
      <c r="V18" s="15">
        <f t="shared" si="4"/>
        <v>0</v>
      </c>
    </row>
    <row r="19" spans="1:22" ht="13.5" thickBot="1" x14ac:dyDescent="0.3">
      <c r="A19" s="6"/>
      <c r="B19" s="7"/>
      <c r="C19" s="19"/>
      <c r="D19" s="87"/>
      <c r="E19" s="88"/>
      <c r="F19" s="88"/>
      <c r="G19" s="90"/>
      <c r="H19" s="31">
        <f t="shared" si="1"/>
        <v>0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15">
        <f t="shared" si="3"/>
        <v>0</v>
      </c>
      <c r="V19" s="15">
        <f t="shared" si="4"/>
        <v>0</v>
      </c>
    </row>
    <row r="20" spans="1:22" ht="13.5" thickBot="1" x14ac:dyDescent="0.3">
      <c r="A20" s="66" t="s">
        <v>26</v>
      </c>
      <c r="B20" s="67"/>
      <c r="C20" s="23">
        <f>SUM(C8:C19)</f>
        <v>129053000</v>
      </c>
      <c r="D20" s="79">
        <f>SUM(D8:E19)</f>
        <v>78000928</v>
      </c>
      <c r="E20" s="80"/>
      <c r="F20" s="79">
        <f>SUM(F8:G19)</f>
        <v>0</v>
      </c>
      <c r="G20" s="80"/>
      <c r="H20" s="23">
        <f t="shared" ref="H20:V20" si="6">SUM(H8:H19)</f>
        <v>207053928</v>
      </c>
      <c r="I20" s="35">
        <f t="shared" si="6"/>
        <v>23164791.399999999</v>
      </c>
      <c r="J20" s="36">
        <f t="shared" si="6"/>
        <v>442081.21</v>
      </c>
      <c r="K20" s="36">
        <f t="shared" si="6"/>
        <v>150981458.21000001</v>
      </c>
      <c r="L20" s="36">
        <f t="shared" si="6"/>
        <v>758387.19999999995</v>
      </c>
      <c r="M20" s="36">
        <f t="shared" si="6"/>
        <v>752423.22</v>
      </c>
      <c r="N20" s="36">
        <f t="shared" si="6"/>
        <v>46338.19</v>
      </c>
      <c r="O20" s="36">
        <f t="shared" si="6"/>
        <v>172336.23</v>
      </c>
      <c r="P20" s="36">
        <f t="shared" si="6"/>
        <v>33115285.609999999</v>
      </c>
      <c r="Q20" s="36">
        <f t="shared" si="6"/>
        <v>608206.75</v>
      </c>
      <c r="R20" s="36">
        <f t="shared" si="6"/>
        <v>385206.75</v>
      </c>
      <c r="S20" s="36">
        <f t="shared" si="6"/>
        <v>385206.75</v>
      </c>
      <c r="T20" s="37">
        <f t="shared" si="6"/>
        <v>242206.75</v>
      </c>
      <c r="U20" s="23">
        <f t="shared" si="6"/>
        <v>211053928.27000001</v>
      </c>
      <c r="V20" s="23">
        <f t="shared" si="6"/>
        <v>-4000000.27</v>
      </c>
    </row>
    <row r="22" spans="1:22" ht="13.5" thickBot="1" x14ac:dyDescent="0.3">
      <c r="A22" s="86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12.75" customHeight="1" x14ac:dyDescent="0.25">
      <c r="A23" s="72" t="s">
        <v>2</v>
      </c>
      <c r="B23" s="70" t="s">
        <v>3</v>
      </c>
      <c r="C23" s="64" t="s">
        <v>4</v>
      </c>
      <c r="D23" s="75" t="s">
        <v>5</v>
      </c>
      <c r="E23" s="76"/>
      <c r="F23" s="76"/>
      <c r="G23" s="77"/>
      <c r="H23" s="64" t="s">
        <v>8</v>
      </c>
      <c r="I23" s="72" t="s">
        <v>9</v>
      </c>
      <c r="J23" s="68" t="s">
        <v>10</v>
      </c>
      <c r="K23" s="68" t="s">
        <v>11</v>
      </c>
      <c r="L23" s="68" t="s">
        <v>12</v>
      </c>
      <c r="M23" s="68" t="s">
        <v>13</v>
      </c>
      <c r="N23" s="68" t="s">
        <v>14</v>
      </c>
      <c r="O23" s="68" t="s">
        <v>15</v>
      </c>
      <c r="P23" s="68" t="s">
        <v>16</v>
      </c>
      <c r="Q23" s="68" t="s">
        <v>17</v>
      </c>
      <c r="R23" s="68" t="s">
        <v>18</v>
      </c>
      <c r="S23" s="68" t="s">
        <v>19</v>
      </c>
      <c r="T23" s="99" t="s">
        <v>20</v>
      </c>
      <c r="U23" s="64" t="s">
        <v>21</v>
      </c>
      <c r="V23" s="96" t="s">
        <v>22</v>
      </c>
    </row>
    <row r="24" spans="1:22" ht="90" thickBot="1" x14ac:dyDescent="0.3">
      <c r="A24" s="73"/>
      <c r="B24" s="74"/>
      <c r="C24" s="65"/>
      <c r="D24" s="8" t="s">
        <v>6</v>
      </c>
      <c r="E24" s="9" t="s">
        <v>7</v>
      </c>
      <c r="F24" s="9" t="s">
        <v>24</v>
      </c>
      <c r="G24" s="10" t="s">
        <v>25</v>
      </c>
      <c r="H24" s="65"/>
      <c r="I24" s="73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0"/>
      <c r="U24" s="65"/>
      <c r="V24" s="97"/>
    </row>
    <row r="25" spans="1:22" ht="25.5" x14ac:dyDescent="0.25">
      <c r="A25" s="2" t="s">
        <v>62</v>
      </c>
      <c r="B25" s="3" t="s">
        <v>63</v>
      </c>
      <c r="C25" s="11">
        <v>4800000</v>
      </c>
      <c r="D25" s="12"/>
      <c r="E25" s="13"/>
      <c r="F25" s="13"/>
      <c r="G25" s="14"/>
      <c r="H25" s="27">
        <f>C25+D25-E25+F25-G25</f>
        <v>4800000</v>
      </c>
      <c r="I25" s="51"/>
      <c r="J25" s="51"/>
      <c r="K25" s="51"/>
      <c r="L25" s="51"/>
      <c r="M25" s="51"/>
      <c r="N25" s="51"/>
      <c r="O25" s="51"/>
      <c r="P25" s="51"/>
      <c r="Q25" s="13">
        <f>4800000/3</f>
        <v>1600000</v>
      </c>
      <c r="R25" s="13">
        <f t="shared" ref="R25:S25" si="7">4800000/3</f>
        <v>1600000</v>
      </c>
      <c r="S25" s="13">
        <f t="shared" si="7"/>
        <v>1600000</v>
      </c>
      <c r="T25" s="52"/>
      <c r="U25" s="11">
        <f>SUM(I25:T25)</f>
        <v>4800000</v>
      </c>
      <c r="V25" s="53">
        <f>H25-U25</f>
        <v>0</v>
      </c>
    </row>
    <row r="26" spans="1:22" ht="25.5" x14ac:dyDescent="0.25">
      <c r="A26" s="2" t="s">
        <v>62</v>
      </c>
      <c r="B26" s="3" t="s">
        <v>63</v>
      </c>
      <c r="C26" s="11">
        <v>0</v>
      </c>
      <c r="D26" s="12">
        <v>18000000</v>
      </c>
      <c r="E26" s="13"/>
      <c r="F26" s="13"/>
      <c r="G26" s="14"/>
      <c r="H26" s="27">
        <f>C26+D26-E26+F26-G26</f>
        <v>18000000</v>
      </c>
      <c r="I26" s="54"/>
      <c r="J26" s="51"/>
      <c r="K26" s="51"/>
      <c r="L26" s="51"/>
      <c r="M26" s="51"/>
      <c r="N26" s="51"/>
      <c r="O26" s="51"/>
      <c r="P26" s="51"/>
      <c r="Q26" s="13">
        <f>18000000/3</f>
        <v>6000000</v>
      </c>
      <c r="R26" s="13">
        <f t="shared" ref="R26:S26" si="8">18000000/3</f>
        <v>6000000</v>
      </c>
      <c r="S26" s="13">
        <f t="shared" si="8"/>
        <v>6000000</v>
      </c>
      <c r="T26" s="52"/>
      <c r="U26" s="15">
        <f>SUM(I26:T26)</f>
        <v>18000000</v>
      </c>
      <c r="V26" s="53">
        <f>H26-U26</f>
        <v>0</v>
      </c>
    </row>
    <row r="27" spans="1:22" ht="13.5" customHeight="1" x14ac:dyDescent="0.25">
      <c r="A27" s="2" t="s">
        <v>36</v>
      </c>
      <c r="B27" s="3" t="s">
        <v>37</v>
      </c>
      <c r="C27" s="11">
        <v>8600000</v>
      </c>
      <c r="D27" s="12"/>
      <c r="E27" s="13"/>
      <c r="F27" s="13"/>
      <c r="G27" s="14"/>
      <c r="H27" s="27">
        <f t="shared" ref="H27:H54" si="9">C27+D27-E27+F27-G27</f>
        <v>8600000</v>
      </c>
      <c r="I27" s="45"/>
      <c r="J27" s="48"/>
      <c r="K27" s="48"/>
      <c r="L27" s="48"/>
      <c r="M27" s="48"/>
      <c r="N27" s="48"/>
      <c r="O27" s="48"/>
      <c r="P27" s="48"/>
      <c r="Q27" s="17">
        <f>8600000/3</f>
        <v>2866666.6666666665</v>
      </c>
      <c r="R27" s="17">
        <f t="shared" ref="R27:S27" si="10">8600000/3</f>
        <v>2866666.6666666665</v>
      </c>
      <c r="S27" s="17">
        <f t="shared" si="10"/>
        <v>2866666.6666666665</v>
      </c>
      <c r="T27" s="41"/>
      <c r="U27" s="15">
        <f t="shared" ref="U27:U54" si="11">SUM(I27:T27)</f>
        <v>8600000</v>
      </c>
      <c r="V27" s="53">
        <f t="shared" ref="V27:V54" si="12">H27-U27</f>
        <v>0</v>
      </c>
    </row>
    <row r="28" spans="1:22" ht="13.5" customHeight="1" x14ac:dyDescent="0.25">
      <c r="A28" s="50" t="s">
        <v>99</v>
      </c>
      <c r="B28" s="50" t="s">
        <v>100</v>
      </c>
      <c r="C28" s="11">
        <v>0</v>
      </c>
      <c r="D28" s="12">
        <v>15000000</v>
      </c>
      <c r="E28" s="13"/>
      <c r="F28" s="13"/>
      <c r="G28" s="14"/>
      <c r="H28" s="27">
        <f t="shared" si="9"/>
        <v>15000000</v>
      </c>
      <c r="I28" s="45"/>
      <c r="J28" s="48"/>
      <c r="K28" s="48"/>
      <c r="L28" s="48"/>
      <c r="M28" s="48"/>
      <c r="N28" s="48"/>
      <c r="O28" s="48"/>
      <c r="P28" s="48"/>
      <c r="Q28" s="17">
        <f>15000000/3</f>
        <v>5000000</v>
      </c>
      <c r="R28" s="17">
        <f t="shared" ref="R28:S28" si="13">15000000/3</f>
        <v>5000000</v>
      </c>
      <c r="S28" s="17">
        <f t="shared" si="13"/>
        <v>5000000</v>
      </c>
      <c r="T28" s="41"/>
      <c r="U28" s="15">
        <f t="shared" si="11"/>
        <v>15000000</v>
      </c>
      <c r="V28" s="53">
        <f t="shared" si="12"/>
        <v>0</v>
      </c>
    </row>
    <row r="29" spans="1:22" ht="25.5" x14ac:dyDescent="0.25">
      <c r="A29" s="2" t="s">
        <v>38</v>
      </c>
      <c r="B29" s="3" t="s">
        <v>39</v>
      </c>
      <c r="C29" s="11">
        <v>12500000</v>
      </c>
      <c r="D29" s="12"/>
      <c r="E29" s="13"/>
      <c r="F29" s="13"/>
      <c r="G29" s="14"/>
      <c r="H29" s="27">
        <f t="shared" si="9"/>
        <v>12500000</v>
      </c>
      <c r="I29" s="45"/>
      <c r="J29" s="48"/>
      <c r="K29" s="48"/>
      <c r="L29" s="48"/>
      <c r="M29" s="48"/>
      <c r="N29" s="48"/>
      <c r="O29" s="48"/>
      <c r="P29" s="48"/>
      <c r="Q29" s="17">
        <f>12500000/3</f>
        <v>4166666.6666666665</v>
      </c>
      <c r="R29" s="17">
        <f t="shared" ref="R29:S29" si="14">12500000/3</f>
        <v>4166666.6666666665</v>
      </c>
      <c r="S29" s="17">
        <f t="shared" si="14"/>
        <v>4166666.6666666665</v>
      </c>
      <c r="T29" s="41"/>
      <c r="U29" s="15">
        <f t="shared" si="11"/>
        <v>12500000</v>
      </c>
      <c r="V29" s="53">
        <f t="shared" si="12"/>
        <v>0</v>
      </c>
    </row>
    <row r="30" spans="1:22" ht="25.5" x14ac:dyDescent="0.25">
      <c r="A30" s="2" t="s">
        <v>67</v>
      </c>
      <c r="B30" s="3" t="s">
        <v>68</v>
      </c>
      <c r="C30" s="11">
        <v>12000000</v>
      </c>
      <c r="D30" s="12"/>
      <c r="E30" s="13"/>
      <c r="F30" s="13"/>
      <c r="G30" s="14"/>
      <c r="H30" s="27">
        <f t="shared" si="9"/>
        <v>12000000</v>
      </c>
      <c r="I30" s="45"/>
      <c r="J30" s="48"/>
      <c r="K30" s="48"/>
      <c r="L30" s="48"/>
      <c r="M30" s="48"/>
      <c r="N30" s="48"/>
      <c r="O30" s="48"/>
      <c r="P30" s="48"/>
      <c r="Q30" s="17">
        <f>12000000/3</f>
        <v>4000000</v>
      </c>
      <c r="R30" s="17">
        <f t="shared" ref="R30:S30" si="15">12000000/3</f>
        <v>4000000</v>
      </c>
      <c r="S30" s="17">
        <f t="shared" si="15"/>
        <v>4000000</v>
      </c>
      <c r="T30" s="41"/>
      <c r="U30" s="15">
        <f t="shared" si="11"/>
        <v>12000000</v>
      </c>
      <c r="V30" s="53">
        <f t="shared" si="12"/>
        <v>0</v>
      </c>
    </row>
    <row r="31" spans="1:22" ht="38.25" x14ac:dyDescent="0.25">
      <c r="A31" s="2" t="s">
        <v>78</v>
      </c>
      <c r="B31" s="3" t="s">
        <v>79</v>
      </c>
      <c r="C31" s="11">
        <v>1000</v>
      </c>
      <c r="D31" s="12"/>
      <c r="E31" s="13"/>
      <c r="F31" s="13"/>
      <c r="G31" s="14"/>
      <c r="H31" s="27">
        <f t="shared" si="9"/>
        <v>1000</v>
      </c>
      <c r="I31" s="45"/>
      <c r="J31" s="48"/>
      <c r="K31" s="48"/>
      <c r="L31" s="48"/>
      <c r="M31" s="48"/>
      <c r="N31" s="48"/>
      <c r="O31" s="48"/>
      <c r="P31" s="48"/>
      <c r="Q31" s="17">
        <f>1000/3</f>
        <v>333.33333333333331</v>
      </c>
      <c r="R31" s="17">
        <f t="shared" ref="R31:S31" si="16">1000/3</f>
        <v>333.33333333333331</v>
      </c>
      <c r="S31" s="17">
        <f t="shared" si="16"/>
        <v>333.33333333333331</v>
      </c>
      <c r="T31" s="41"/>
      <c r="U31" s="15">
        <f t="shared" si="11"/>
        <v>1000</v>
      </c>
      <c r="V31" s="53">
        <f t="shared" si="12"/>
        <v>0</v>
      </c>
    </row>
    <row r="32" spans="1:22" ht="25.5" x14ac:dyDescent="0.25">
      <c r="A32" s="2" t="s">
        <v>80</v>
      </c>
      <c r="B32" s="3" t="s">
        <v>81</v>
      </c>
      <c r="C32" s="11">
        <v>50000</v>
      </c>
      <c r="D32" s="12"/>
      <c r="E32" s="13"/>
      <c r="F32" s="13"/>
      <c r="G32" s="14"/>
      <c r="H32" s="27">
        <f t="shared" si="9"/>
        <v>50000</v>
      </c>
      <c r="I32" s="45"/>
      <c r="J32" s="48"/>
      <c r="K32" s="48"/>
      <c r="L32" s="48"/>
      <c r="M32" s="48"/>
      <c r="N32" s="48"/>
      <c r="O32" s="48"/>
      <c r="P32" s="48"/>
      <c r="Q32" s="17">
        <f>50000/3</f>
        <v>16666.666666666668</v>
      </c>
      <c r="R32" s="17">
        <f t="shared" ref="R32:S32" si="17">50000/3</f>
        <v>16666.666666666668</v>
      </c>
      <c r="S32" s="17">
        <f t="shared" si="17"/>
        <v>16666.666666666668</v>
      </c>
      <c r="T32" s="41"/>
      <c r="U32" s="15">
        <f t="shared" si="11"/>
        <v>50000</v>
      </c>
      <c r="V32" s="53">
        <f t="shared" si="12"/>
        <v>0</v>
      </c>
    </row>
    <row r="33" spans="1:22" ht="25.5" x14ac:dyDescent="0.25">
      <c r="A33" s="50" t="s">
        <v>101</v>
      </c>
      <c r="B33" s="50" t="s">
        <v>103</v>
      </c>
      <c r="C33" s="11">
        <v>0</v>
      </c>
      <c r="D33" s="12">
        <v>10629373</v>
      </c>
      <c r="E33" s="13"/>
      <c r="F33" s="13"/>
      <c r="G33" s="14"/>
      <c r="H33" s="27">
        <f t="shared" si="9"/>
        <v>10629373</v>
      </c>
      <c r="I33" s="45"/>
      <c r="J33" s="48"/>
      <c r="K33" s="48"/>
      <c r="L33" s="48"/>
      <c r="M33" s="48"/>
      <c r="N33" s="48"/>
      <c r="O33" s="48"/>
      <c r="P33" s="48">
        <v>10059000</v>
      </c>
      <c r="Q33" s="17">
        <f>570373/3</f>
        <v>190124.33333333334</v>
      </c>
      <c r="R33" s="17">
        <f t="shared" ref="R33:S33" si="18">570373/3</f>
        <v>190124.33333333334</v>
      </c>
      <c r="S33" s="17">
        <f t="shared" si="18"/>
        <v>190124.33333333334</v>
      </c>
      <c r="T33" s="41"/>
      <c r="U33" s="15">
        <f t="shared" si="11"/>
        <v>10629373.000000002</v>
      </c>
      <c r="V33" s="53">
        <f t="shared" si="12"/>
        <v>0</v>
      </c>
    </row>
    <row r="34" spans="1:22" ht="25.5" x14ac:dyDescent="0.25">
      <c r="A34" s="50" t="s">
        <v>102</v>
      </c>
      <c r="B34" s="50" t="s">
        <v>104</v>
      </c>
      <c r="C34" s="11">
        <v>0</v>
      </c>
      <c r="D34" s="12">
        <v>5348956</v>
      </c>
      <c r="E34" s="13"/>
      <c r="F34" s="13"/>
      <c r="G34" s="14"/>
      <c r="H34" s="27">
        <f t="shared" si="9"/>
        <v>5348956</v>
      </c>
      <c r="I34" s="45"/>
      <c r="J34" s="48"/>
      <c r="K34" s="48"/>
      <c r="L34" s="48"/>
      <c r="M34" s="48"/>
      <c r="N34" s="48"/>
      <c r="O34" s="48"/>
      <c r="P34" s="48"/>
      <c r="Q34" s="17">
        <f>5348956/3</f>
        <v>1782985.3333333333</v>
      </c>
      <c r="R34" s="17">
        <f t="shared" ref="R34:S34" si="19">5348956/3</f>
        <v>1782985.3333333333</v>
      </c>
      <c r="S34" s="17">
        <f t="shared" si="19"/>
        <v>1782985.3333333333</v>
      </c>
      <c r="T34" s="41"/>
      <c r="U34" s="15">
        <f t="shared" si="11"/>
        <v>5348956</v>
      </c>
      <c r="V34" s="53">
        <f t="shared" si="12"/>
        <v>0</v>
      </c>
    </row>
    <row r="35" spans="1:22" ht="25.5" x14ac:dyDescent="0.25">
      <c r="A35" s="2" t="s">
        <v>40</v>
      </c>
      <c r="B35" s="3" t="s">
        <v>41</v>
      </c>
      <c r="C35" s="11">
        <v>20400000</v>
      </c>
      <c r="D35" s="12">
        <v>1238005</v>
      </c>
      <c r="E35" s="13"/>
      <c r="F35" s="13"/>
      <c r="G35" s="14"/>
      <c r="H35" s="27">
        <f t="shared" si="9"/>
        <v>21638005</v>
      </c>
      <c r="I35" s="45"/>
      <c r="J35" s="48"/>
      <c r="K35" s="48"/>
      <c r="L35" s="48"/>
      <c r="M35" s="48"/>
      <c r="N35" s="48"/>
      <c r="O35" s="48"/>
      <c r="P35" s="48"/>
      <c r="Q35" s="17">
        <f>21638005/3</f>
        <v>7212668.333333333</v>
      </c>
      <c r="R35" s="17">
        <f t="shared" ref="R35:S35" si="20">21638005/3</f>
        <v>7212668.333333333</v>
      </c>
      <c r="S35" s="17">
        <f t="shared" si="20"/>
        <v>7212668.333333333</v>
      </c>
      <c r="T35" s="41"/>
      <c r="U35" s="15">
        <f t="shared" si="11"/>
        <v>21638005</v>
      </c>
      <c r="V35" s="53">
        <f t="shared" si="12"/>
        <v>0</v>
      </c>
    </row>
    <row r="36" spans="1:22" ht="25.5" x14ac:dyDescent="0.25">
      <c r="A36" s="2" t="s">
        <v>42</v>
      </c>
      <c r="B36" s="3" t="s">
        <v>43</v>
      </c>
      <c r="C36" s="11">
        <v>6600000</v>
      </c>
      <c r="D36" s="12"/>
      <c r="E36" s="13"/>
      <c r="F36" s="13"/>
      <c r="G36" s="14"/>
      <c r="H36" s="27">
        <f t="shared" si="9"/>
        <v>6600000</v>
      </c>
      <c r="I36" s="45"/>
      <c r="J36" s="48"/>
      <c r="K36" s="48"/>
      <c r="L36" s="48"/>
      <c r="M36" s="48"/>
      <c r="N36" s="48"/>
      <c r="O36" s="48"/>
      <c r="P36" s="48"/>
      <c r="Q36" s="17">
        <f>6600000/3</f>
        <v>2200000</v>
      </c>
      <c r="R36" s="17">
        <f t="shared" ref="R36:S36" si="21">6600000/3</f>
        <v>2200000</v>
      </c>
      <c r="S36" s="17">
        <f t="shared" si="21"/>
        <v>2200000</v>
      </c>
      <c r="T36" s="41"/>
      <c r="U36" s="15">
        <f t="shared" si="11"/>
        <v>6600000</v>
      </c>
      <c r="V36" s="53">
        <f t="shared" si="12"/>
        <v>0</v>
      </c>
    </row>
    <row r="37" spans="1:22" ht="25.5" x14ac:dyDescent="0.25">
      <c r="A37" s="2" t="s">
        <v>82</v>
      </c>
      <c r="B37" s="3" t="s">
        <v>83</v>
      </c>
      <c r="C37" s="11">
        <v>0</v>
      </c>
      <c r="D37" s="12">
        <v>3700000</v>
      </c>
      <c r="E37" s="13"/>
      <c r="F37" s="13"/>
      <c r="G37" s="14"/>
      <c r="H37" s="27">
        <f t="shared" si="9"/>
        <v>3700000</v>
      </c>
      <c r="I37" s="45"/>
      <c r="J37" s="48"/>
      <c r="K37" s="48"/>
      <c r="L37" s="48"/>
      <c r="M37" s="48"/>
      <c r="N37" s="48"/>
      <c r="O37" s="48"/>
      <c r="P37" s="48"/>
      <c r="Q37" s="17">
        <f>3700000/3</f>
        <v>1233333.3333333333</v>
      </c>
      <c r="R37" s="17">
        <f t="shared" ref="R37:S37" si="22">3700000/3</f>
        <v>1233333.3333333333</v>
      </c>
      <c r="S37" s="17">
        <f t="shared" si="22"/>
        <v>1233333.3333333333</v>
      </c>
      <c r="T37" s="41"/>
      <c r="U37" s="15">
        <f t="shared" si="11"/>
        <v>3700000</v>
      </c>
      <c r="V37" s="53">
        <f t="shared" si="12"/>
        <v>0</v>
      </c>
    </row>
    <row r="38" spans="1:22" ht="25.5" x14ac:dyDescent="0.25">
      <c r="A38" s="2" t="s">
        <v>60</v>
      </c>
      <c r="B38" s="3" t="s">
        <v>61</v>
      </c>
      <c r="C38" s="11">
        <v>1000</v>
      </c>
      <c r="D38" s="12">
        <v>4110271</v>
      </c>
      <c r="E38" s="13"/>
      <c r="F38" s="13"/>
      <c r="G38" s="14"/>
      <c r="H38" s="27">
        <f t="shared" si="9"/>
        <v>4111271</v>
      </c>
      <c r="I38" s="45"/>
      <c r="J38" s="48"/>
      <c r="K38" s="48"/>
      <c r="L38" s="48"/>
      <c r="M38" s="48"/>
      <c r="N38" s="48">
        <v>4070000</v>
      </c>
      <c r="O38" s="48"/>
      <c r="P38" s="48"/>
      <c r="Q38" s="17">
        <f>41271/3</f>
        <v>13757</v>
      </c>
      <c r="R38" s="17">
        <f t="shared" ref="R38:S38" si="23">41271/3</f>
        <v>13757</v>
      </c>
      <c r="S38" s="17">
        <f t="shared" si="23"/>
        <v>13757</v>
      </c>
      <c r="T38" s="41"/>
      <c r="U38" s="15">
        <f t="shared" si="11"/>
        <v>4111271</v>
      </c>
      <c r="V38" s="53">
        <f t="shared" si="12"/>
        <v>0</v>
      </c>
    </row>
    <row r="39" spans="1:22" ht="25.5" x14ac:dyDescent="0.25">
      <c r="A39" s="50" t="s">
        <v>105</v>
      </c>
      <c r="B39" s="50" t="s">
        <v>106</v>
      </c>
      <c r="C39" s="11">
        <v>0</v>
      </c>
      <c r="D39" s="12">
        <v>5000000</v>
      </c>
      <c r="E39" s="13"/>
      <c r="F39" s="13"/>
      <c r="G39" s="14"/>
      <c r="H39" s="27">
        <f t="shared" si="9"/>
        <v>5000000</v>
      </c>
      <c r="I39" s="45"/>
      <c r="J39" s="48"/>
      <c r="K39" s="48"/>
      <c r="L39" s="48"/>
      <c r="M39" s="48"/>
      <c r="N39" s="48"/>
      <c r="O39" s="48"/>
      <c r="P39" s="48"/>
      <c r="Q39" s="17">
        <f>5000000/3</f>
        <v>1666666.6666666667</v>
      </c>
      <c r="R39" s="17">
        <f t="shared" ref="R39:S39" si="24">5000000/3</f>
        <v>1666666.6666666667</v>
      </c>
      <c r="S39" s="17">
        <f t="shared" si="24"/>
        <v>1666666.6666666667</v>
      </c>
      <c r="T39" s="17"/>
      <c r="U39" s="15">
        <f t="shared" si="11"/>
        <v>5000000</v>
      </c>
      <c r="V39" s="53">
        <f t="shared" si="12"/>
        <v>0</v>
      </c>
    </row>
    <row r="40" spans="1:22" ht="25.5" x14ac:dyDescent="0.25">
      <c r="A40" s="2" t="s">
        <v>44</v>
      </c>
      <c r="B40" s="3" t="s">
        <v>45</v>
      </c>
      <c r="C40" s="11">
        <v>1500000</v>
      </c>
      <c r="D40" s="12"/>
      <c r="E40" s="13"/>
      <c r="F40" s="13"/>
      <c r="G40" s="14"/>
      <c r="H40" s="27">
        <f>C40+D40-E40+F40-G40</f>
        <v>1500000</v>
      </c>
      <c r="I40" s="45">
        <v>300118</v>
      </c>
      <c r="J40" s="48">
        <v>967</v>
      </c>
      <c r="K40" s="48">
        <v>192526.53</v>
      </c>
      <c r="L40" s="55">
        <v>96747</v>
      </c>
      <c r="M40" s="48"/>
      <c r="N40" s="48"/>
      <c r="O40" s="48">
        <v>93000</v>
      </c>
      <c r="P40" s="48">
        <v>125069</v>
      </c>
      <c r="Q40" s="17">
        <f>691572/4</f>
        <v>172893</v>
      </c>
      <c r="R40" s="17">
        <f t="shared" ref="R40:T40" si="25">691572/4</f>
        <v>172893</v>
      </c>
      <c r="S40" s="17">
        <f t="shared" si="25"/>
        <v>172893</v>
      </c>
      <c r="T40" s="17">
        <f t="shared" si="25"/>
        <v>172893</v>
      </c>
      <c r="U40" s="15">
        <f t="shared" si="11"/>
        <v>1499999.53</v>
      </c>
      <c r="V40" s="53">
        <f t="shared" si="12"/>
        <v>0.46999999997206032</v>
      </c>
    </row>
    <row r="41" spans="1:22" ht="25.5" x14ac:dyDescent="0.25">
      <c r="A41" s="2" t="s">
        <v>58</v>
      </c>
      <c r="B41" s="3" t="s">
        <v>59</v>
      </c>
      <c r="C41" s="11">
        <v>0</v>
      </c>
      <c r="D41" s="12">
        <v>314964</v>
      </c>
      <c r="E41" s="13"/>
      <c r="F41" s="13"/>
      <c r="G41" s="14"/>
      <c r="H41" s="27">
        <f t="shared" si="9"/>
        <v>314964</v>
      </c>
      <c r="I41" s="45">
        <v>20230</v>
      </c>
      <c r="J41" s="48"/>
      <c r="K41" s="48"/>
      <c r="L41" s="48"/>
      <c r="M41" s="48">
        <v>96747</v>
      </c>
      <c r="N41" s="48">
        <v>104839</v>
      </c>
      <c r="O41" s="48">
        <v>3747</v>
      </c>
      <c r="P41" s="48"/>
      <c r="Q41" s="17">
        <f>89401/4</f>
        <v>22350.25</v>
      </c>
      <c r="R41" s="17">
        <f t="shared" ref="R41:T41" si="26">89401/4</f>
        <v>22350.25</v>
      </c>
      <c r="S41" s="17">
        <f t="shared" si="26"/>
        <v>22350.25</v>
      </c>
      <c r="T41" s="17">
        <f t="shared" si="26"/>
        <v>22350.25</v>
      </c>
      <c r="U41" s="15">
        <f t="shared" si="11"/>
        <v>314964</v>
      </c>
      <c r="V41" s="53">
        <f t="shared" si="12"/>
        <v>0</v>
      </c>
    </row>
    <row r="42" spans="1:22" ht="25.5" x14ac:dyDescent="0.25">
      <c r="A42" s="2" t="s">
        <v>46</v>
      </c>
      <c r="B42" s="3" t="s">
        <v>47</v>
      </c>
      <c r="C42" s="11">
        <v>5500000</v>
      </c>
      <c r="D42" s="12"/>
      <c r="E42" s="13"/>
      <c r="F42" s="13"/>
      <c r="G42" s="14"/>
      <c r="H42" s="27">
        <f t="shared" si="9"/>
        <v>5500000</v>
      </c>
      <c r="I42" s="45"/>
      <c r="J42" s="48"/>
      <c r="K42" s="48"/>
      <c r="L42" s="48"/>
      <c r="M42" s="48"/>
      <c r="N42" s="48"/>
      <c r="O42" s="48">
        <v>4413546</v>
      </c>
      <c r="P42" s="48"/>
      <c r="Q42" s="17">
        <f>1086454/3</f>
        <v>362151.33333333331</v>
      </c>
      <c r="R42" s="17">
        <f t="shared" ref="R42:S42" si="27">1086454/3</f>
        <v>362151.33333333331</v>
      </c>
      <c r="S42" s="17">
        <f t="shared" si="27"/>
        <v>362151.33333333331</v>
      </c>
      <c r="T42" s="41"/>
      <c r="U42" s="15">
        <f t="shared" si="11"/>
        <v>5499999.9999999991</v>
      </c>
      <c r="V42" s="53">
        <f t="shared" si="12"/>
        <v>0</v>
      </c>
    </row>
    <row r="43" spans="1:22" ht="25.5" x14ac:dyDescent="0.25">
      <c r="A43" s="2" t="s">
        <v>48</v>
      </c>
      <c r="B43" s="3" t="s">
        <v>49</v>
      </c>
      <c r="C43" s="11">
        <v>29000000</v>
      </c>
      <c r="D43" s="12"/>
      <c r="E43" s="13"/>
      <c r="F43" s="13"/>
      <c r="G43" s="14"/>
      <c r="H43" s="27">
        <f t="shared" si="9"/>
        <v>29000000</v>
      </c>
      <c r="I43" s="45"/>
      <c r="J43" s="48"/>
      <c r="K43" s="48"/>
      <c r="L43" s="48"/>
      <c r="M43" s="48">
        <v>4800000</v>
      </c>
      <c r="N43" s="48"/>
      <c r="O43" s="48"/>
      <c r="P43" s="48">
        <v>2400000</v>
      </c>
      <c r="Q43" s="17">
        <f>21800000/3</f>
        <v>7266666.666666667</v>
      </c>
      <c r="R43" s="17">
        <f t="shared" ref="R43:S43" si="28">21800000/3</f>
        <v>7266666.666666667</v>
      </c>
      <c r="S43" s="17">
        <f t="shared" si="28"/>
        <v>7266666.666666667</v>
      </c>
      <c r="T43" s="41"/>
      <c r="U43" s="15">
        <f t="shared" si="11"/>
        <v>29000000.000000004</v>
      </c>
      <c r="V43" s="53">
        <f t="shared" si="12"/>
        <v>0</v>
      </c>
    </row>
    <row r="44" spans="1:22" ht="25.5" x14ac:dyDescent="0.25">
      <c r="A44" s="2" t="s">
        <v>84</v>
      </c>
      <c r="B44" s="3" t="s">
        <v>85</v>
      </c>
      <c r="C44" s="11">
        <v>0</v>
      </c>
      <c r="D44" s="12">
        <v>4800000</v>
      </c>
      <c r="E44" s="13"/>
      <c r="F44" s="13"/>
      <c r="G44" s="14"/>
      <c r="H44" s="27">
        <f t="shared" si="9"/>
        <v>4800000</v>
      </c>
      <c r="I44" s="45"/>
      <c r="J44" s="48"/>
      <c r="K44" s="48">
        <v>2400000</v>
      </c>
      <c r="L44" s="55">
        <v>2400000</v>
      </c>
      <c r="M44" s="48"/>
      <c r="N44" s="48"/>
      <c r="O44" s="48"/>
      <c r="P44" s="48"/>
      <c r="Q44" s="17"/>
      <c r="R44" s="17"/>
      <c r="S44" s="17"/>
      <c r="T44" s="41"/>
      <c r="U44" s="15">
        <f t="shared" si="11"/>
        <v>4800000</v>
      </c>
      <c r="V44" s="53">
        <f t="shared" si="12"/>
        <v>0</v>
      </c>
    </row>
    <row r="45" spans="1:22" ht="25.5" x14ac:dyDescent="0.25">
      <c r="A45" s="2" t="s">
        <v>86</v>
      </c>
      <c r="B45" s="3" t="s">
        <v>87</v>
      </c>
      <c r="C45" s="11">
        <v>1900000</v>
      </c>
      <c r="D45" s="12"/>
      <c r="E45" s="13"/>
      <c r="F45" s="13"/>
      <c r="G45" s="14"/>
      <c r="H45" s="27">
        <f t="shared" si="9"/>
        <v>1900000</v>
      </c>
      <c r="I45" s="45"/>
      <c r="J45" s="48"/>
      <c r="K45" s="48"/>
      <c r="L45" s="48"/>
      <c r="M45" s="48"/>
      <c r="N45" s="48"/>
      <c r="O45" s="48"/>
      <c r="P45" s="48"/>
      <c r="Q45" s="17">
        <f>1900000/3</f>
        <v>633333.33333333337</v>
      </c>
      <c r="R45" s="17">
        <f t="shared" ref="R45:S45" si="29">1900000/3</f>
        <v>633333.33333333337</v>
      </c>
      <c r="S45" s="17">
        <f t="shared" si="29"/>
        <v>633333.33333333337</v>
      </c>
      <c r="T45" s="41"/>
      <c r="U45" s="15">
        <f t="shared" si="11"/>
        <v>1900000</v>
      </c>
      <c r="V45" s="53">
        <f t="shared" si="12"/>
        <v>0</v>
      </c>
    </row>
    <row r="46" spans="1:22" ht="25.5" x14ac:dyDescent="0.25">
      <c r="A46" s="2" t="s">
        <v>66</v>
      </c>
      <c r="B46" s="3" t="s">
        <v>88</v>
      </c>
      <c r="C46" s="11">
        <v>16000000</v>
      </c>
      <c r="D46" s="12"/>
      <c r="E46" s="13"/>
      <c r="F46" s="13"/>
      <c r="G46" s="14"/>
      <c r="H46" s="27">
        <f t="shared" si="9"/>
        <v>16000000</v>
      </c>
      <c r="I46" s="45"/>
      <c r="J46" s="48"/>
      <c r="K46" s="48"/>
      <c r="L46" s="48"/>
      <c r="M46" s="48"/>
      <c r="N46" s="48"/>
      <c r="O46" s="48">
        <v>3200000</v>
      </c>
      <c r="P46" s="48"/>
      <c r="Q46" s="17">
        <f>12800000/3</f>
        <v>4266666.666666667</v>
      </c>
      <c r="R46" s="17">
        <f t="shared" ref="R46:S46" si="30">12800000/3</f>
        <v>4266666.666666667</v>
      </c>
      <c r="S46" s="17">
        <f t="shared" si="30"/>
        <v>4266666.666666667</v>
      </c>
      <c r="T46" s="17"/>
      <c r="U46" s="15">
        <f t="shared" si="11"/>
        <v>16000000</v>
      </c>
      <c r="V46" s="53">
        <f t="shared" si="12"/>
        <v>0</v>
      </c>
    </row>
    <row r="47" spans="1:22" ht="25.5" x14ac:dyDescent="0.25">
      <c r="A47" s="2" t="s">
        <v>89</v>
      </c>
      <c r="B47" s="3" t="s">
        <v>90</v>
      </c>
      <c r="C47" s="11">
        <v>0</v>
      </c>
      <c r="D47" s="12">
        <v>6600000</v>
      </c>
      <c r="E47" s="13"/>
      <c r="F47" s="13"/>
      <c r="G47" s="14"/>
      <c r="H47" s="27">
        <f t="shared" si="9"/>
        <v>6600000</v>
      </c>
      <c r="I47" s="45"/>
      <c r="J47" s="48"/>
      <c r="K47" s="48"/>
      <c r="L47" s="48"/>
      <c r="M47" s="48"/>
      <c r="N47" s="48"/>
      <c r="O47" s="48">
        <v>2153500</v>
      </c>
      <c r="P47" s="48"/>
      <c r="Q47" s="17">
        <f>4446500/3</f>
        <v>1482166.6666666667</v>
      </c>
      <c r="R47" s="17">
        <f t="shared" ref="R47:S47" si="31">4446500/3</f>
        <v>1482166.6666666667</v>
      </c>
      <c r="S47" s="17">
        <f t="shared" si="31"/>
        <v>1482166.6666666667</v>
      </c>
      <c r="T47" s="41"/>
      <c r="U47" s="15">
        <f t="shared" si="11"/>
        <v>6600000.0000000009</v>
      </c>
      <c r="V47" s="53">
        <f t="shared" si="12"/>
        <v>0</v>
      </c>
    </row>
    <row r="48" spans="1:22" ht="25.5" x14ac:dyDescent="0.25">
      <c r="A48" s="2" t="s">
        <v>50</v>
      </c>
      <c r="B48" s="3" t="s">
        <v>51</v>
      </c>
      <c r="C48" s="11">
        <v>2800000</v>
      </c>
      <c r="D48" s="12"/>
      <c r="E48" s="13"/>
      <c r="F48" s="13"/>
      <c r="G48" s="14"/>
      <c r="H48" s="27">
        <f t="shared" si="9"/>
        <v>2800000</v>
      </c>
      <c r="I48" s="45"/>
      <c r="J48" s="48"/>
      <c r="K48" s="48"/>
      <c r="L48" s="48"/>
      <c r="M48" s="48"/>
      <c r="N48" s="48"/>
      <c r="O48" s="48"/>
      <c r="P48" s="48"/>
      <c r="Q48" s="17">
        <f>2800000/3</f>
        <v>933333.33333333337</v>
      </c>
      <c r="R48" s="17">
        <f t="shared" ref="R48:S48" si="32">2800000/3</f>
        <v>933333.33333333337</v>
      </c>
      <c r="S48" s="17">
        <f t="shared" si="32"/>
        <v>933333.33333333337</v>
      </c>
      <c r="T48" s="41"/>
      <c r="U48" s="15">
        <f t="shared" si="11"/>
        <v>2800000</v>
      </c>
      <c r="V48" s="53">
        <f t="shared" si="12"/>
        <v>0</v>
      </c>
    </row>
    <row r="49" spans="1:22" ht="25.5" x14ac:dyDescent="0.25">
      <c r="A49" s="2" t="s">
        <v>91</v>
      </c>
      <c r="B49" s="3" t="s">
        <v>92</v>
      </c>
      <c r="C49" s="11">
        <v>3700000</v>
      </c>
      <c r="D49" s="12"/>
      <c r="E49" s="13"/>
      <c r="F49" s="13"/>
      <c r="G49" s="14"/>
      <c r="H49" s="27">
        <f t="shared" si="9"/>
        <v>3700000</v>
      </c>
      <c r="I49" s="45"/>
      <c r="J49" s="48"/>
      <c r="K49" s="48"/>
      <c r="L49" s="48"/>
      <c r="M49" s="48">
        <v>7612</v>
      </c>
      <c r="N49" s="48"/>
      <c r="O49" s="48"/>
      <c r="P49" s="48">
        <v>422959</v>
      </c>
      <c r="Q49" s="17">
        <f>3269429/4</f>
        <v>817357.25</v>
      </c>
      <c r="R49" s="17">
        <f t="shared" ref="R49:T49" si="33">3269429/4</f>
        <v>817357.25</v>
      </c>
      <c r="S49" s="17">
        <f t="shared" si="33"/>
        <v>817357.25</v>
      </c>
      <c r="T49" s="17">
        <f t="shared" si="33"/>
        <v>817357.25</v>
      </c>
      <c r="U49" s="15">
        <f t="shared" si="11"/>
        <v>3700000</v>
      </c>
      <c r="V49" s="53">
        <f t="shared" si="12"/>
        <v>0</v>
      </c>
    </row>
    <row r="50" spans="1:22" ht="25.5" x14ac:dyDescent="0.25">
      <c r="A50" s="2" t="s">
        <v>52</v>
      </c>
      <c r="B50" s="3" t="s">
        <v>53</v>
      </c>
      <c r="C50" s="11">
        <v>3700000</v>
      </c>
      <c r="D50" s="12"/>
      <c r="E50" s="13"/>
      <c r="F50" s="13"/>
      <c r="G50" s="14"/>
      <c r="H50" s="27">
        <f t="shared" si="9"/>
        <v>3700000</v>
      </c>
      <c r="I50" s="45"/>
      <c r="J50" s="48">
        <v>531199</v>
      </c>
      <c r="K50" s="48">
        <v>404959</v>
      </c>
      <c r="L50" s="55">
        <v>313969</v>
      </c>
      <c r="M50" s="48"/>
      <c r="N50" s="48">
        <v>327969</v>
      </c>
      <c r="O50" s="48">
        <v>235029</v>
      </c>
      <c r="P50" s="48"/>
      <c r="Q50" s="17">
        <f>1886875/4</f>
        <v>471718.75</v>
      </c>
      <c r="R50" s="17">
        <f t="shared" ref="R50:T50" si="34">1886875/4</f>
        <v>471718.75</v>
      </c>
      <c r="S50" s="17">
        <f t="shared" si="34"/>
        <v>471718.75</v>
      </c>
      <c r="T50" s="17">
        <f t="shared" si="34"/>
        <v>471718.75</v>
      </c>
      <c r="U50" s="15">
        <f t="shared" si="11"/>
        <v>3700000</v>
      </c>
      <c r="V50" s="53">
        <f t="shared" si="12"/>
        <v>0</v>
      </c>
    </row>
    <row r="51" spans="1:22" ht="25.5" x14ac:dyDescent="0.25">
      <c r="A51" s="2" t="s">
        <v>64</v>
      </c>
      <c r="B51" s="3" t="s">
        <v>65</v>
      </c>
      <c r="C51" s="11">
        <v>0</v>
      </c>
      <c r="D51" s="12">
        <v>300000</v>
      </c>
      <c r="E51" s="13"/>
      <c r="F51" s="13"/>
      <c r="G51" s="14"/>
      <c r="H51" s="27">
        <f t="shared" si="9"/>
        <v>300000</v>
      </c>
      <c r="I51" s="45"/>
      <c r="J51" s="48"/>
      <c r="K51" s="48"/>
      <c r="L51" s="48"/>
      <c r="M51" s="48"/>
      <c r="N51" s="48"/>
      <c r="O51" s="48">
        <v>300000</v>
      </c>
      <c r="P51" s="48"/>
      <c r="Q51" s="17"/>
      <c r="R51" s="17"/>
      <c r="S51" s="17"/>
      <c r="T51" s="17"/>
      <c r="U51" s="15">
        <f t="shared" si="11"/>
        <v>300000</v>
      </c>
      <c r="V51" s="53">
        <f t="shared" si="12"/>
        <v>0</v>
      </c>
    </row>
    <row r="52" spans="1:22" ht="25.5" x14ac:dyDescent="0.25">
      <c r="A52" s="2" t="s">
        <v>54</v>
      </c>
      <c r="B52" s="3" t="s">
        <v>55</v>
      </c>
      <c r="C52" s="11">
        <v>0</v>
      </c>
      <c r="D52" s="12">
        <v>959359</v>
      </c>
      <c r="E52" s="13"/>
      <c r="F52" s="13"/>
      <c r="G52" s="14"/>
      <c r="H52" s="27">
        <f t="shared" si="9"/>
        <v>959359</v>
      </c>
      <c r="I52" s="45">
        <v>406459</v>
      </c>
      <c r="J52" s="48"/>
      <c r="K52" s="48"/>
      <c r="L52" s="48"/>
      <c r="M52" s="48">
        <v>529317</v>
      </c>
      <c r="N52" s="48"/>
      <c r="O52" s="48">
        <v>23582</v>
      </c>
      <c r="P52" s="48"/>
      <c r="Q52" s="17">
        <f>1/4</f>
        <v>0.25</v>
      </c>
      <c r="R52" s="17">
        <f t="shared" ref="R52:T52" si="35">1/4</f>
        <v>0.25</v>
      </c>
      <c r="S52" s="17">
        <f t="shared" si="35"/>
        <v>0.25</v>
      </c>
      <c r="T52" s="17">
        <f t="shared" si="35"/>
        <v>0.25</v>
      </c>
      <c r="U52" s="15">
        <f t="shared" si="11"/>
        <v>959359</v>
      </c>
      <c r="V52" s="53">
        <f t="shared" si="12"/>
        <v>0</v>
      </c>
    </row>
    <row r="53" spans="1:22" ht="25.5" x14ac:dyDescent="0.25">
      <c r="A53" s="50" t="s">
        <v>107</v>
      </c>
      <c r="B53" s="50" t="s">
        <v>108</v>
      </c>
      <c r="C53" s="11">
        <v>0</v>
      </c>
      <c r="D53" s="12">
        <v>2000000</v>
      </c>
      <c r="E53" s="13"/>
      <c r="F53" s="13"/>
      <c r="G53" s="14"/>
      <c r="H53" s="27">
        <f t="shared" si="9"/>
        <v>2000000</v>
      </c>
      <c r="I53" s="45"/>
      <c r="J53" s="48"/>
      <c r="K53" s="48"/>
      <c r="L53" s="48"/>
      <c r="M53" s="48"/>
      <c r="N53" s="48"/>
      <c r="O53" s="48"/>
      <c r="P53" s="48"/>
      <c r="Q53" s="17">
        <f>2000000/3</f>
        <v>666666.66666666663</v>
      </c>
      <c r="R53" s="17">
        <f t="shared" ref="R53:S53" si="36">2000000/3</f>
        <v>666666.66666666663</v>
      </c>
      <c r="S53" s="17">
        <f t="shared" si="36"/>
        <v>666666.66666666663</v>
      </c>
      <c r="T53" s="17"/>
      <c r="U53" s="15">
        <f t="shared" si="11"/>
        <v>2000000</v>
      </c>
      <c r="V53" s="53">
        <f t="shared" si="12"/>
        <v>0</v>
      </c>
    </row>
    <row r="54" spans="1:22" ht="25.5" x14ac:dyDescent="0.25">
      <c r="A54" s="2" t="s">
        <v>56</v>
      </c>
      <c r="B54" s="3" t="s">
        <v>57</v>
      </c>
      <c r="C54" s="11">
        <v>1000</v>
      </c>
      <c r="D54" s="12"/>
      <c r="E54" s="13"/>
      <c r="F54" s="13"/>
      <c r="G54" s="14"/>
      <c r="H54" s="27">
        <f t="shared" si="9"/>
        <v>1000</v>
      </c>
      <c r="I54" s="45"/>
      <c r="J54" s="48"/>
      <c r="K54" s="48"/>
      <c r="L54" s="48"/>
      <c r="M54" s="48"/>
      <c r="N54" s="48"/>
      <c r="O54" s="48"/>
      <c r="P54" s="48"/>
      <c r="Q54" s="17">
        <f>1000/4</f>
        <v>250</v>
      </c>
      <c r="R54" s="17">
        <f t="shared" ref="R54:T54" si="37">1000/4</f>
        <v>250</v>
      </c>
      <c r="S54" s="17">
        <f t="shared" si="37"/>
        <v>250</v>
      </c>
      <c r="T54" s="17">
        <f t="shared" si="37"/>
        <v>250</v>
      </c>
      <c r="U54" s="11">
        <f t="shared" si="11"/>
        <v>1000</v>
      </c>
      <c r="V54" s="53">
        <f t="shared" si="12"/>
        <v>0</v>
      </c>
    </row>
    <row r="55" spans="1:22" ht="13.5" thickBot="1" x14ac:dyDescent="0.3">
      <c r="A55" s="6"/>
      <c r="B55" s="7"/>
      <c r="C55" s="19"/>
      <c r="D55" s="20"/>
      <c r="E55" s="21"/>
      <c r="F55" s="21"/>
      <c r="G55" s="22"/>
      <c r="H55" s="38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2"/>
      <c r="U55" s="43"/>
      <c r="V55" s="56"/>
    </row>
    <row r="56" spans="1:22" ht="13.5" thickBot="1" x14ac:dyDescent="0.3">
      <c r="A56" s="66" t="s">
        <v>26</v>
      </c>
      <c r="B56" s="67"/>
      <c r="C56" s="23">
        <f t="shared" ref="C56:V56" si="38">SUM(C25:C55)</f>
        <v>129053000</v>
      </c>
      <c r="D56" s="24">
        <f t="shared" si="38"/>
        <v>78000928</v>
      </c>
      <c r="E56" s="25">
        <f t="shared" si="38"/>
        <v>0</v>
      </c>
      <c r="F56" s="25">
        <f t="shared" si="38"/>
        <v>0</v>
      </c>
      <c r="G56" s="26">
        <f t="shared" si="38"/>
        <v>0</v>
      </c>
      <c r="H56" s="23">
        <f t="shared" si="38"/>
        <v>207053928</v>
      </c>
      <c r="I56" s="35">
        <f t="shared" si="38"/>
        <v>726807</v>
      </c>
      <c r="J56" s="36">
        <f t="shared" si="38"/>
        <v>532166</v>
      </c>
      <c r="K56" s="36">
        <f t="shared" si="38"/>
        <v>2997485.53</v>
      </c>
      <c r="L56" s="36">
        <f t="shared" si="38"/>
        <v>2810716</v>
      </c>
      <c r="M56" s="36">
        <f t="shared" si="38"/>
        <v>5433676</v>
      </c>
      <c r="N56" s="36">
        <f t="shared" si="38"/>
        <v>4502808</v>
      </c>
      <c r="O56" s="36">
        <f t="shared" si="38"/>
        <v>10422404</v>
      </c>
      <c r="P56" s="36">
        <f t="shared" si="38"/>
        <v>13007028</v>
      </c>
      <c r="Q56" s="36">
        <f t="shared" si="38"/>
        <v>55045422.499999993</v>
      </c>
      <c r="R56" s="36">
        <f t="shared" si="38"/>
        <v>55045422.499999993</v>
      </c>
      <c r="S56" s="36">
        <f t="shared" si="38"/>
        <v>55045422.499999993</v>
      </c>
      <c r="T56" s="57">
        <f t="shared" si="38"/>
        <v>1484569.5</v>
      </c>
      <c r="U56" s="23">
        <f t="shared" si="38"/>
        <v>207053927.53</v>
      </c>
      <c r="V56" s="58">
        <f t="shared" si="38"/>
        <v>0.46999999997206032</v>
      </c>
    </row>
    <row r="61" spans="1:22" ht="24" x14ac:dyDescent="0.25">
      <c r="B61" s="103" t="s">
        <v>120</v>
      </c>
    </row>
    <row r="62" spans="1:22" x14ac:dyDescent="0.25">
      <c r="B62" s="101"/>
    </row>
    <row r="64" spans="1:22" ht="15" customHeight="1" x14ac:dyDescent="0.25">
      <c r="A64" s="102" t="s">
        <v>118</v>
      </c>
      <c r="B64" s="102" t="s">
        <v>119</v>
      </c>
    </row>
  </sheetData>
  <mergeCells count="73">
    <mergeCell ref="V23:V24"/>
    <mergeCell ref="A56:B5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G23"/>
    <mergeCell ref="H23:H24"/>
    <mergeCell ref="I23:I24"/>
    <mergeCell ref="D19:E19"/>
    <mergeCell ref="F19:G19"/>
    <mergeCell ref="A20:B20"/>
    <mergeCell ref="D20:E20"/>
    <mergeCell ref="F20:G20"/>
    <mergeCell ref="A22:V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65" orientation="landscape" r:id="rId1"/>
  <headerFooter>
    <oddFooter>&amp;L&amp;F&amp;C&amp;A&amp;R&amp;P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original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SIS</cp:lastModifiedBy>
  <cp:lastPrinted>2026-02-04T19:36:58Z</cp:lastPrinted>
  <dcterms:created xsi:type="dcterms:W3CDTF">2016-06-15T16:48:09Z</dcterms:created>
  <dcterms:modified xsi:type="dcterms:W3CDTF">2026-02-04T19:38:11Z</dcterms:modified>
</cp:coreProperties>
</file>