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ÑO 2025 FA\ADM\ADM FINANCIERO\INFORMES\PAC\"/>
    </mc:Choice>
  </mc:AlternateContent>
  <bookViews>
    <workbookView xWindow="0" yWindow="0" windowWidth="15600" windowHeight="7755" activeTab="12"/>
  </bookViews>
  <sheets>
    <sheet name="original" sheetId="1" r:id="rId1"/>
    <sheet name="enero" sheetId="67" r:id="rId2"/>
    <sheet name="febrero" sheetId="68" r:id="rId3"/>
    <sheet name="marzo" sheetId="69" r:id="rId4"/>
    <sheet name="Abril" sheetId="70" r:id="rId5"/>
    <sheet name="Mayo" sheetId="71" r:id="rId6"/>
    <sheet name="Junio" sheetId="72" r:id="rId7"/>
    <sheet name="julio" sheetId="73" r:id="rId8"/>
    <sheet name="agosto" sheetId="74" r:id="rId9"/>
    <sheet name="septiembre" sheetId="75" r:id="rId10"/>
    <sheet name="octubre" sheetId="76" r:id="rId11"/>
    <sheet name="noviembre" sheetId="77" r:id="rId12"/>
    <sheet name="diciembre" sheetId="78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78" l="1"/>
  <c r="S49" i="78"/>
  <c r="R49" i="78"/>
  <c r="Q49" i="78"/>
  <c r="P49" i="78"/>
  <c r="O49" i="78"/>
  <c r="N49" i="78"/>
  <c r="M49" i="78"/>
  <c r="L49" i="78"/>
  <c r="K49" i="78"/>
  <c r="J49" i="78"/>
  <c r="I49" i="78"/>
  <c r="G49" i="78"/>
  <c r="F49" i="78"/>
  <c r="E49" i="78"/>
  <c r="D49" i="78"/>
  <c r="C49" i="78"/>
  <c r="U47" i="78"/>
  <c r="H47" i="78"/>
  <c r="U46" i="78"/>
  <c r="H46" i="78"/>
  <c r="U45" i="78"/>
  <c r="H45" i="78"/>
  <c r="U44" i="78"/>
  <c r="V44" i="78" s="1"/>
  <c r="H44" i="78"/>
  <c r="U43" i="78"/>
  <c r="H43" i="78"/>
  <c r="U42" i="78"/>
  <c r="H42" i="78"/>
  <c r="U41" i="78"/>
  <c r="H41" i="78"/>
  <c r="V41" i="78" s="1"/>
  <c r="U40" i="78"/>
  <c r="V40" i="78" s="1"/>
  <c r="H40" i="78"/>
  <c r="U39" i="78"/>
  <c r="H39" i="78"/>
  <c r="U38" i="78"/>
  <c r="H38" i="78"/>
  <c r="U37" i="78"/>
  <c r="H37" i="78"/>
  <c r="V37" i="78" s="1"/>
  <c r="V36" i="78"/>
  <c r="U36" i="78"/>
  <c r="H36" i="78"/>
  <c r="U35" i="78"/>
  <c r="H35" i="78"/>
  <c r="U34" i="78"/>
  <c r="H34" i="78"/>
  <c r="V34" i="78" s="1"/>
  <c r="U33" i="78"/>
  <c r="H33" i="78"/>
  <c r="V33" i="78" s="1"/>
  <c r="U32" i="78"/>
  <c r="H32" i="78"/>
  <c r="U31" i="78"/>
  <c r="H31" i="78"/>
  <c r="U30" i="78"/>
  <c r="H30" i="78"/>
  <c r="V30" i="78" s="1"/>
  <c r="U29" i="78"/>
  <c r="H29" i="78"/>
  <c r="U28" i="78"/>
  <c r="H28" i="78"/>
  <c r="U27" i="78"/>
  <c r="H27" i="78"/>
  <c r="U26" i="78"/>
  <c r="H26" i="78"/>
  <c r="V26" i="78" s="1"/>
  <c r="U25" i="78"/>
  <c r="H25" i="78"/>
  <c r="V25" i="78" s="1"/>
  <c r="U24" i="78"/>
  <c r="H24" i="78"/>
  <c r="U23" i="78"/>
  <c r="H23" i="78"/>
  <c r="U22" i="78"/>
  <c r="H22" i="78"/>
  <c r="T17" i="78"/>
  <c r="S17" i="78"/>
  <c r="R17" i="78"/>
  <c r="Q17" i="78"/>
  <c r="P17" i="78"/>
  <c r="O17" i="78"/>
  <c r="N17" i="78"/>
  <c r="M17" i="78"/>
  <c r="L17" i="78"/>
  <c r="K17" i="78"/>
  <c r="J17" i="78"/>
  <c r="I17" i="78"/>
  <c r="F17" i="78"/>
  <c r="D17" i="78"/>
  <c r="C17" i="78"/>
  <c r="U16" i="78"/>
  <c r="H16" i="78"/>
  <c r="U15" i="78"/>
  <c r="H15" i="78"/>
  <c r="U14" i="78"/>
  <c r="H14" i="78"/>
  <c r="V14" i="78" s="1"/>
  <c r="U13" i="78"/>
  <c r="V13" i="78" s="1"/>
  <c r="H13" i="78"/>
  <c r="U12" i="78"/>
  <c r="H12" i="78"/>
  <c r="U11" i="78"/>
  <c r="H11" i="78"/>
  <c r="U10" i="78"/>
  <c r="H10" i="78"/>
  <c r="V9" i="78"/>
  <c r="U9" i="78"/>
  <c r="H9" i="78"/>
  <c r="U8" i="78"/>
  <c r="H8" i="78"/>
  <c r="R49" i="77"/>
  <c r="Q49" i="77"/>
  <c r="P49" i="77"/>
  <c r="O49" i="77"/>
  <c r="N49" i="77"/>
  <c r="M49" i="77"/>
  <c r="L49" i="77"/>
  <c r="K49" i="77"/>
  <c r="J49" i="77"/>
  <c r="I49" i="77"/>
  <c r="G49" i="77"/>
  <c r="F49" i="77"/>
  <c r="E49" i="77"/>
  <c r="D49" i="77"/>
  <c r="C49" i="77"/>
  <c r="U47" i="77"/>
  <c r="V47" i="77" s="1"/>
  <c r="H47" i="77"/>
  <c r="U46" i="77"/>
  <c r="H46" i="77"/>
  <c r="U45" i="77"/>
  <c r="H45" i="77"/>
  <c r="U44" i="77"/>
  <c r="H44" i="77"/>
  <c r="U43" i="77"/>
  <c r="V43" i="77" s="1"/>
  <c r="H43" i="77"/>
  <c r="U42" i="77"/>
  <c r="H42" i="77"/>
  <c r="U41" i="77"/>
  <c r="H41" i="77"/>
  <c r="U40" i="77"/>
  <c r="H40" i="77"/>
  <c r="V40" i="77" s="1"/>
  <c r="U39" i="77"/>
  <c r="H39" i="77"/>
  <c r="U38" i="77"/>
  <c r="H38" i="77"/>
  <c r="V38" i="77" s="1"/>
  <c r="U37" i="77"/>
  <c r="H37" i="77"/>
  <c r="V37" i="77" s="1"/>
  <c r="U36" i="77"/>
  <c r="H36" i="77"/>
  <c r="U35" i="77"/>
  <c r="H35" i="77"/>
  <c r="U34" i="77"/>
  <c r="H34" i="77"/>
  <c r="U33" i="77"/>
  <c r="T49" i="77"/>
  <c r="S49" i="77"/>
  <c r="H33" i="77"/>
  <c r="U32" i="77"/>
  <c r="H32" i="77"/>
  <c r="U31" i="77"/>
  <c r="H31" i="77"/>
  <c r="U30" i="77"/>
  <c r="H30" i="77"/>
  <c r="U29" i="77"/>
  <c r="H29" i="77"/>
  <c r="V29" i="77" s="1"/>
  <c r="U28" i="77"/>
  <c r="H28" i="77"/>
  <c r="U27" i="77"/>
  <c r="H27" i="77"/>
  <c r="U26" i="77"/>
  <c r="H26" i="77"/>
  <c r="U25" i="77"/>
  <c r="H25" i="77"/>
  <c r="U24" i="77"/>
  <c r="H24" i="77"/>
  <c r="U23" i="77"/>
  <c r="H23" i="77"/>
  <c r="U22" i="77"/>
  <c r="H22" i="77"/>
  <c r="T17" i="77"/>
  <c r="S17" i="77"/>
  <c r="R17" i="77"/>
  <c r="Q17" i="77"/>
  <c r="P17" i="77"/>
  <c r="O17" i="77"/>
  <c r="N17" i="77"/>
  <c r="M17" i="77"/>
  <c r="L17" i="77"/>
  <c r="K17" i="77"/>
  <c r="J17" i="77"/>
  <c r="I17" i="77"/>
  <c r="F17" i="77"/>
  <c r="D17" i="77"/>
  <c r="C17" i="77"/>
  <c r="U16" i="77"/>
  <c r="H16" i="77"/>
  <c r="U15" i="77"/>
  <c r="H15" i="77"/>
  <c r="U14" i="77"/>
  <c r="H14" i="77"/>
  <c r="V14" i="77" s="1"/>
  <c r="U13" i="77"/>
  <c r="V13" i="77" s="1"/>
  <c r="H13" i="77"/>
  <c r="U12" i="77"/>
  <c r="H12" i="77"/>
  <c r="U11" i="77"/>
  <c r="H11" i="77"/>
  <c r="U10" i="77"/>
  <c r="H10" i="77"/>
  <c r="U9" i="77"/>
  <c r="V9" i="77" s="1"/>
  <c r="H9" i="77"/>
  <c r="U8" i="77"/>
  <c r="H8" i="77"/>
  <c r="T45" i="76"/>
  <c r="U45" i="76" s="1"/>
  <c r="S45" i="76"/>
  <c r="T44" i="76"/>
  <c r="S44" i="76"/>
  <c r="T34" i="76"/>
  <c r="S34" i="76"/>
  <c r="T33" i="76"/>
  <c r="S33" i="76"/>
  <c r="U33" i="76" s="1"/>
  <c r="U43" i="76"/>
  <c r="V43" i="76" s="1"/>
  <c r="H43" i="76"/>
  <c r="U27" i="76"/>
  <c r="H27" i="76"/>
  <c r="V27" i="76" s="1"/>
  <c r="U24" i="76"/>
  <c r="H24" i="76"/>
  <c r="U23" i="76"/>
  <c r="H23" i="76"/>
  <c r="Q49" i="76"/>
  <c r="P49" i="76"/>
  <c r="O49" i="76"/>
  <c r="N49" i="76"/>
  <c r="M49" i="76"/>
  <c r="L49" i="76"/>
  <c r="K49" i="76"/>
  <c r="J49" i="76"/>
  <c r="I49" i="76"/>
  <c r="G49" i="76"/>
  <c r="F49" i="76"/>
  <c r="E49" i="76"/>
  <c r="D49" i="76"/>
  <c r="C49" i="76"/>
  <c r="U47" i="76"/>
  <c r="H47" i="76"/>
  <c r="U46" i="76"/>
  <c r="H46" i="76"/>
  <c r="H45" i="76"/>
  <c r="H44" i="76"/>
  <c r="U42" i="76"/>
  <c r="H42" i="76"/>
  <c r="U41" i="76"/>
  <c r="H41" i="76"/>
  <c r="U40" i="76"/>
  <c r="H40" i="76"/>
  <c r="U39" i="76"/>
  <c r="H39" i="76"/>
  <c r="U38" i="76"/>
  <c r="H38" i="76"/>
  <c r="U37" i="76"/>
  <c r="H37" i="76"/>
  <c r="U36" i="76"/>
  <c r="H36" i="76"/>
  <c r="U35" i="76"/>
  <c r="H35" i="76"/>
  <c r="H34" i="76"/>
  <c r="H33" i="76"/>
  <c r="U32" i="76"/>
  <c r="H32" i="76"/>
  <c r="U31" i="76"/>
  <c r="H31" i="76"/>
  <c r="U30" i="76"/>
  <c r="H30" i="76"/>
  <c r="U29" i="76"/>
  <c r="H29" i="76"/>
  <c r="U28" i="76"/>
  <c r="H28" i="76"/>
  <c r="U26" i="76"/>
  <c r="H26" i="76"/>
  <c r="U25" i="76"/>
  <c r="H25" i="76"/>
  <c r="R49" i="76"/>
  <c r="H22" i="76"/>
  <c r="T17" i="76"/>
  <c r="S17" i="76"/>
  <c r="Q17" i="76"/>
  <c r="P17" i="76"/>
  <c r="O17" i="76"/>
  <c r="N17" i="76"/>
  <c r="M17" i="76"/>
  <c r="L17" i="76"/>
  <c r="K17" i="76"/>
  <c r="J17" i="76"/>
  <c r="I17" i="76"/>
  <c r="F17" i="76"/>
  <c r="D17" i="76"/>
  <c r="C17" i="76"/>
  <c r="U16" i="76"/>
  <c r="H16" i="76"/>
  <c r="U15" i="76"/>
  <c r="H15" i="76"/>
  <c r="U14" i="76"/>
  <c r="H14" i="76"/>
  <c r="U13" i="76"/>
  <c r="H13" i="76"/>
  <c r="U12" i="76"/>
  <c r="H12" i="76"/>
  <c r="U11" i="76"/>
  <c r="H11" i="76"/>
  <c r="U10" i="76"/>
  <c r="H10" i="76"/>
  <c r="U9" i="76"/>
  <c r="R17" i="76"/>
  <c r="H9" i="76"/>
  <c r="U8" i="76"/>
  <c r="H8" i="76"/>
  <c r="V36" i="77" l="1"/>
  <c r="V23" i="78"/>
  <c r="V27" i="78"/>
  <c r="V31" i="78"/>
  <c r="V35" i="78"/>
  <c r="V8" i="76"/>
  <c r="U44" i="76"/>
  <c r="V44" i="76" s="1"/>
  <c r="V8" i="77"/>
  <c r="V12" i="77"/>
  <c r="V16" i="77"/>
  <c r="H49" i="77"/>
  <c r="H17" i="78"/>
  <c r="V12" i="78"/>
  <c r="V16" i="78"/>
  <c r="H49" i="78"/>
  <c r="V39" i="78"/>
  <c r="V43" i="78"/>
  <c r="V47" i="78"/>
  <c r="V23" i="77"/>
  <c r="V27" i="77"/>
  <c r="V31" i="77"/>
  <c r="V8" i="78"/>
  <c r="U34" i="76"/>
  <c r="V34" i="76" s="1"/>
  <c r="H17" i="77"/>
  <c r="V11" i="77"/>
  <c r="V15" i="77"/>
  <c r="V24" i="77"/>
  <c r="V28" i="77"/>
  <c r="V32" i="77"/>
  <c r="V35" i="77"/>
  <c r="V39" i="77"/>
  <c r="V41" i="77"/>
  <c r="V45" i="77"/>
  <c r="V15" i="78"/>
  <c r="V24" i="78"/>
  <c r="V28" i="78"/>
  <c r="V32" i="78"/>
  <c r="V46" i="78"/>
  <c r="V42" i="78"/>
  <c r="V29" i="78"/>
  <c r="V38" i="78"/>
  <c r="V45" i="78"/>
  <c r="V11" i="78"/>
  <c r="V10" i="78"/>
  <c r="V17" i="78" s="1"/>
  <c r="U49" i="78"/>
  <c r="U17" i="78"/>
  <c r="V22" i="78"/>
  <c r="V26" i="77"/>
  <c r="V30" i="77"/>
  <c r="V33" i="77"/>
  <c r="V25" i="77"/>
  <c r="V42" i="77"/>
  <c r="V44" i="77"/>
  <c r="V46" i="77"/>
  <c r="V10" i="77"/>
  <c r="V34" i="77"/>
  <c r="U17" i="77"/>
  <c r="V22" i="77"/>
  <c r="U49" i="77"/>
  <c r="T49" i="76"/>
  <c r="S49" i="76"/>
  <c r="V10" i="76"/>
  <c r="V14" i="76"/>
  <c r="V26" i="76"/>
  <c r="V11" i="76"/>
  <c r="V15" i="76"/>
  <c r="V25" i="76"/>
  <c r="V28" i="76"/>
  <c r="V30" i="76"/>
  <c r="V33" i="76"/>
  <c r="V37" i="76"/>
  <c r="V39" i="76"/>
  <c r="V41" i="76"/>
  <c r="V46" i="76"/>
  <c r="V24" i="76"/>
  <c r="H49" i="76"/>
  <c r="V23" i="76"/>
  <c r="V13" i="76"/>
  <c r="V16" i="76"/>
  <c r="V36" i="76"/>
  <c r="V40" i="76"/>
  <c r="V42" i="76"/>
  <c r="V45" i="76"/>
  <c r="V47" i="76"/>
  <c r="U17" i="76"/>
  <c r="V9" i="76"/>
  <c r="V12" i="76"/>
  <c r="V32" i="76"/>
  <c r="V35" i="76"/>
  <c r="V31" i="76"/>
  <c r="V29" i="76"/>
  <c r="V38" i="76"/>
  <c r="H17" i="76"/>
  <c r="U22" i="76"/>
  <c r="U49" i="76" s="1"/>
  <c r="T43" i="75"/>
  <c r="S43" i="75"/>
  <c r="R43" i="75"/>
  <c r="T42" i="75"/>
  <c r="S42" i="75"/>
  <c r="R42" i="75"/>
  <c r="T41" i="75"/>
  <c r="S41" i="75"/>
  <c r="R41" i="75"/>
  <c r="T40" i="75"/>
  <c r="S40" i="75"/>
  <c r="R40" i="75"/>
  <c r="S39" i="75"/>
  <c r="R39" i="75"/>
  <c r="S38" i="75"/>
  <c r="R38" i="75"/>
  <c r="S37" i="75"/>
  <c r="R37" i="75"/>
  <c r="S36" i="75"/>
  <c r="R36" i="75"/>
  <c r="S35" i="75"/>
  <c r="R35" i="75"/>
  <c r="S34" i="75"/>
  <c r="R34" i="75"/>
  <c r="S33" i="75"/>
  <c r="R33" i="75"/>
  <c r="S32" i="75"/>
  <c r="R32" i="75"/>
  <c r="T31" i="75"/>
  <c r="S31" i="75"/>
  <c r="R31" i="75"/>
  <c r="T30" i="75"/>
  <c r="S30" i="75"/>
  <c r="R30" i="75"/>
  <c r="S29" i="75"/>
  <c r="R29" i="75"/>
  <c r="S28" i="75"/>
  <c r="R28" i="75"/>
  <c r="S27" i="75"/>
  <c r="R27" i="75"/>
  <c r="S26" i="75"/>
  <c r="R26" i="75"/>
  <c r="S25" i="75"/>
  <c r="R25" i="75"/>
  <c r="S24" i="75"/>
  <c r="R24" i="75"/>
  <c r="S23" i="75"/>
  <c r="R23" i="75"/>
  <c r="S22" i="75"/>
  <c r="R22" i="75"/>
  <c r="T12" i="75"/>
  <c r="S12" i="75"/>
  <c r="R12" i="75"/>
  <c r="T9" i="75"/>
  <c r="S9" i="75"/>
  <c r="R9" i="75"/>
  <c r="V17" i="77" l="1"/>
  <c r="V49" i="78"/>
  <c r="V49" i="77"/>
  <c r="V17" i="76"/>
  <c r="V22" i="76"/>
  <c r="V49" i="76" s="1"/>
  <c r="R17" i="75"/>
  <c r="P45" i="75"/>
  <c r="O45" i="75"/>
  <c r="N45" i="75"/>
  <c r="M45" i="75"/>
  <c r="L45" i="75"/>
  <c r="K45" i="75"/>
  <c r="J45" i="75"/>
  <c r="I45" i="75"/>
  <c r="G45" i="75"/>
  <c r="F45" i="75"/>
  <c r="E45" i="75"/>
  <c r="D45" i="75"/>
  <c r="C45" i="75"/>
  <c r="U43" i="75"/>
  <c r="H43" i="75"/>
  <c r="U42" i="75"/>
  <c r="H42" i="75"/>
  <c r="U41" i="75"/>
  <c r="H41" i="75"/>
  <c r="U40" i="75"/>
  <c r="H40" i="75"/>
  <c r="U39" i="75"/>
  <c r="H39" i="75"/>
  <c r="U38" i="75"/>
  <c r="H38" i="75"/>
  <c r="U37" i="75"/>
  <c r="H37" i="75"/>
  <c r="U36" i="75"/>
  <c r="H36" i="75"/>
  <c r="U35" i="75"/>
  <c r="H35" i="75"/>
  <c r="U34" i="75"/>
  <c r="H34" i="75"/>
  <c r="U33" i="75"/>
  <c r="H33" i="75"/>
  <c r="U32" i="75"/>
  <c r="H32" i="75"/>
  <c r="S45" i="75"/>
  <c r="Q45" i="75"/>
  <c r="H31" i="75"/>
  <c r="T45" i="75"/>
  <c r="U30" i="75"/>
  <c r="H30" i="75"/>
  <c r="U29" i="75"/>
  <c r="H29" i="75"/>
  <c r="U28" i="75"/>
  <c r="H28" i="75"/>
  <c r="U27" i="75"/>
  <c r="H27" i="75"/>
  <c r="V27" i="75" s="1"/>
  <c r="U26" i="75"/>
  <c r="H26" i="75"/>
  <c r="U25" i="75"/>
  <c r="H25" i="75"/>
  <c r="V25" i="75" s="1"/>
  <c r="U24" i="75"/>
  <c r="H24" i="75"/>
  <c r="U23" i="75"/>
  <c r="H23" i="75"/>
  <c r="R45" i="75"/>
  <c r="H22" i="75"/>
  <c r="P17" i="75"/>
  <c r="O17" i="75"/>
  <c r="N17" i="75"/>
  <c r="M17" i="75"/>
  <c r="L17" i="75"/>
  <c r="K17" i="75"/>
  <c r="J17" i="75"/>
  <c r="I17" i="75"/>
  <c r="F17" i="75"/>
  <c r="D17" i="75"/>
  <c r="C17" i="75"/>
  <c r="U16" i="75"/>
  <c r="H16" i="75"/>
  <c r="V16" i="75" s="1"/>
  <c r="U15" i="75"/>
  <c r="H15" i="75"/>
  <c r="V15" i="75" s="1"/>
  <c r="U14" i="75"/>
  <c r="H14" i="75"/>
  <c r="V14" i="75" s="1"/>
  <c r="U13" i="75"/>
  <c r="H13" i="75"/>
  <c r="V13" i="75" s="1"/>
  <c r="S17" i="75"/>
  <c r="Q17" i="75"/>
  <c r="H12" i="75"/>
  <c r="U11" i="75"/>
  <c r="H11" i="75"/>
  <c r="U10" i="75"/>
  <c r="H10" i="75"/>
  <c r="V10" i="75" s="1"/>
  <c r="T17" i="75"/>
  <c r="U9" i="75"/>
  <c r="H9" i="75"/>
  <c r="U8" i="75"/>
  <c r="H8" i="75"/>
  <c r="H17" i="75" s="1"/>
  <c r="T43" i="74"/>
  <c r="S43" i="74"/>
  <c r="R43" i="74"/>
  <c r="Q43" i="74"/>
  <c r="T42" i="74"/>
  <c r="S42" i="74"/>
  <c r="R42" i="74"/>
  <c r="Q42" i="74"/>
  <c r="T41" i="74"/>
  <c r="S41" i="74"/>
  <c r="R41" i="74"/>
  <c r="Q41" i="74"/>
  <c r="T40" i="74"/>
  <c r="S40" i="74"/>
  <c r="R40" i="74"/>
  <c r="Q40" i="74"/>
  <c r="S39" i="74"/>
  <c r="R39" i="74"/>
  <c r="Q39" i="74"/>
  <c r="S38" i="74"/>
  <c r="R38" i="74"/>
  <c r="Q38" i="74"/>
  <c r="S37" i="74"/>
  <c r="R37" i="74"/>
  <c r="Q37" i="74"/>
  <c r="S36" i="74"/>
  <c r="R36" i="74"/>
  <c r="Q36" i="74"/>
  <c r="S35" i="74"/>
  <c r="R35" i="74"/>
  <c r="Q35" i="74"/>
  <c r="S34" i="74"/>
  <c r="R34" i="74"/>
  <c r="Q34" i="74"/>
  <c r="S33" i="74"/>
  <c r="R33" i="74"/>
  <c r="Q33" i="74"/>
  <c r="S32" i="74"/>
  <c r="R32" i="74"/>
  <c r="Q32" i="74"/>
  <c r="T31" i="74"/>
  <c r="S31" i="74"/>
  <c r="R31" i="74"/>
  <c r="Q31" i="74"/>
  <c r="T30" i="74"/>
  <c r="S30" i="74"/>
  <c r="R30" i="74"/>
  <c r="Q30" i="74"/>
  <c r="S29" i="74"/>
  <c r="R29" i="74"/>
  <c r="Q29" i="74"/>
  <c r="S28" i="74"/>
  <c r="R28" i="74"/>
  <c r="Q28" i="74"/>
  <c r="S27" i="74"/>
  <c r="R27" i="74"/>
  <c r="Q27" i="74"/>
  <c r="S26" i="74"/>
  <c r="R26" i="74"/>
  <c r="Q26" i="74"/>
  <c r="S25" i="74"/>
  <c r="R25" i="74"/>
  <c r="Q25" i="74"/>
  <c r="S24" i="74"/>
  <c r="R24" i="74"/>
  <c r="Q24" i="74"/>
  <c r="S23" i="74"/>
  <c r="R23" i="74"/>
  <c r="Q23" i="74"/>
  <c r="S22" i="74"/>
  <c r="R22" i="74"/>
  <c r="Q22" i="74"/>
  <c r="T12" i="74"/>
  <c r="S12" i="74"/>
  <c r="R12" i="74"/>
  <c r="Q12" i="74"/>
  <c r="V11" i="75" l="1"/>
  <c r="H45" i="75"/>
  <c r="V43" i="75"/>
  <c r="V39" i="75"/>
  <c r="V37" i="75"/>
  <c r="V35" i="75"/>
  <c r="V33" i="75"/>
  <c r="V29" i="75"/>
  <c r="V23" i="75"/>
  <c r="V41" i="75"/>
  <c r="V24" i="75"/>
  <c r="V26" i="75"/>
  <c r="V28" i="75"/>
  <c r="V32" i="75"/>
  <c r="V34" i="75"/>
  <c r="V36" i="75"/>
  <c r="V38" i="75"/>
  <c r="V9" i="75"/>
  <c r="V30" i="75"/>
  <c r="V40" i="75"/>
  <c r="V42" i="75"/>
  <c r="U12" i="75"/>
  <c r="V12" i="75" s="1"/>
  <c r="U22" i="75"/>
  <c r="U31" i="75"/>
  <c r="V31" i="75" s="1"/>
  <c r="V8" i="75"/>
  <c r="Q9" i="74"/>
  <c r="O45" i="74"/>
  <c r="N45" i="74"/>
  <c r="M45" i="74"/>
  <c r="L45" i="74"/>
  <c r="K45" i="74"/>
  <c r="J45" i="74"/>
  <c r="I45" i="74"/>
  <c r="G45" i="74"/>
  <c r="F45" i="74"/>
  <c r="E45" i="74"/>
  <c r="D45" i="74"/>
  <c r="C45" i="74"/>
  <c r="U43" i="74"/>
  <c r="H43" i="74"/>
  <c r="U42" i="74"/>
  <c r="H42" i="74"/>
  <c r="V42" i="74" s="1"/>
  <c r="U41" i="74"/>
  <c r="H41" i="74"/>
  <c r="U40" i="74"/>
  <c r="H40" i="74"/>
  <c r="U39" i="74"/>
  <c r="H39" i="74"/>
  <c r="U38" i="74"/>
  <c r="H38" i="74"/>
  <c r="U37" i="74"/>
  <c r="H37" i="74"/>
  <c r="U36" i="74"/>
  <c r="H36" i="74"/>
  <c r="U35" i="74"/>
  <c r="H35" i="74"/>
  <c r="U34" i="74"/>
  <c r="H34" i="74"/>
  <c r="U33" i="74"/>
  <c r="H33" i="74"/>
  <c r="U32" i="74"/>
  <c r="H32" i="74"/>
  <c r="U31" i="74"/>
  <c r="H31" i="74"/>
  <c r="T45" i="74"/>
  <c r="U30" i="74"/>
  <c r="H30" i="74"/>
  <c r="U29" i="74"/>
  <c r="H29" i="74"/>
  <c r="U28" i="74"/>
  <c r="H28" i="74"/>
  <c r="U27" i="74"/>
  <c r="H27" i="74"/>
  <c r="U26" i="74"/>
  <c r="H26" i="74"/>
  <c r="U25" i="74"/>
  <c r="H25" i="74"/>
  <c r="U24" i="74"/>
  <c r="H24" i="74"/>
  <c r="U23" i="74"/>
  <c r="H23" i="74"/>
  <c r="S45" i="74"/>
  <c r="R45" i="74"/>
  <c r="Q45" i="74"/>
  <c r="P45" i="74"/>
  <c r="H22" i="74"/>
  <c r="O17" i="74"/>
  <c r="N17" i="74"/>
  <c r="M17" i="74"/>
  <c r="L17" i="74"/>
  <c r="K17" i="74"/>
  <c r="J17" i="74"/>
  <c r="I17" i="74"/>
  <c r="F17" i="74"/>
  <c r="D17" i="74"/>
  <c r="C17" i="74"/>
  <c r="U16" i="74"/>
  <c r="H16" i="74"/>
  <c r="V16" i="74" s="1"/>
  <c r="U15" i="74"/>
  <c r="H15" i="74"/>
  <c r="V15" i="74" s="1"/>
  <c r="U14" i="74"/>
  <c r="H14" i="74"/>
  <c r="V14" i="74" s="1"/>
  <c r="U13" i="74"/>
  <c r="H13" i="74"/>
  <c r="V13" i="74" s="1"/>
  <c r="U12" i="74"/>
  <c r="H12" i="74"/>
  <c r="U11" i="74"/>
  <c r="H11" i="74"/>
  <c r="U10" i="74"/>
  <c r="H10" i="74"/>
  <c r="T9" i="74"/>
  <c r="T17" i="74" s="1"/>
  <c r="S9" i="74"/>
  <c r="S17" i="74" s="1"/>
  <c r="R9" i="74"/>
  <c r="R17" i="74" s="1"/>
  <c r="Q17" i="74"/>
  <c r="P17" i="74"/>
  <c r="H9" i="74"/>
  <c r="U8" i="74"/>
  <c r="H8" i="74"/>
  <c r="T43" i="73"/>
  <c r="S43" i="73"/>
  <c r="R43" i="73"/>
  <c r="Q43" i="73"/>
  <c r="P43" i="73"/>
  <c r="T42" i="73"/>
  <c r="S42" i="73"/>
  <c r="R42" i="73"/>
  <c r="Q42" i="73"/>
  <c r="P42" i="73"/>
  <c r="T41" i="73"/>
  <c r="S41" i="73"/>
  <c r="R41" i="73"/>
  <c r="Q41" i="73"/>
  <c r="P41" i="73"/>
  <c r="T40" i="73"/>
  <c r="S40" i="73"/>
  <c r="R40" i="73"/>
  <c r="Q40" i="73"/>
  <c r="P40" i="73"/>
  <c r="S39" i="73"/>
  <c r="R39" i="73"/>
  <c r="Q39" i="73"/>
  <c r="P39" i="73"/>
  <c r="S38" i="73"/>
  <c r="R38" i="73"/>
  <c r="Q38" i="73"/>
  <c r="P38" i="73"/>
  <c r="S37" i="73"/>
  <c r="R37" i="73"/>
  <c r="Q37" i="73"/>
  <c r="P37" i="73"/>
  <c r="S36" i="73"/>
  <c r="R36" i="73"/>
  <c r="Q36" i="73"/>
  <c r="P36" i="73"/>
  <c r="S35" i="73"/>
  <c r="R35" i="73"/>
  <c r="Q35" i="73"/>
  <c r="P35" i="73"/>
  <c r="S34" i="73"/>
  <c r="R34" i="73"/>
  <c r="Q34" i="73"/>
  <c r="P34" i="73"/>
  <c r="S33" i="73"/>
  <c r="R33" i="73"/>
  <c r="Q33" i="73"/>
  <c r="P33" i="73"/>
  <c r="S32" i="73"/>
  <c r="R32" i="73"/>
  <c r="Q32" i="73"/>
  <c r="P32" i="73"/>
  <c r="T31" i="73"/>
  <c r="S31" i="73"/>
  <c r="R31" i="73"/>
  <c r="Q31" i="73"/>
  <c r="P31" i="73"/>
  <c r="T30" i="73"/>
  <c r="S30" i="73"/>
  <c r="R30" i="73"/>
  <c r="Q30" i="73"/>
  <c r="P30" i="73"/>
  <c r="S29" i="73"/>
  <c r="R29" i="73"/>
  <c r="Q29" i="73"/>
  <c r="P29" i="73"/>
  <c r="S28" i="73"/>
  <c r="R28" i="73"/>
  <c r="Q28" i="73"/>
  <c r="P28" i="73"/>
  <c r="S27" i="73"/>
  <c r="R27" i="73"/>
  <c r="Q27" i="73"/>
  <c r="P27" i="73"/>
  <c r="S26" i="73"/>
  <c r="R26" i="73"/>
  <c r="Q26" i="73"/>
  <c r="P26" i="73"/>
  <c r="S25" i="73"/>
  <c r="R25" i="73"/>
  <c r="Q25" i="73"/>
  <c r="P25" i="73"/>
  <c r="S24" i="73"/>
  <c r="R24" i="73"/>
  <c r="Q24" i="73"/>
  <c r="P24" i="73"/>
  <c r="S23" i="73"/>
  <c r="R23" i="73"/>
  <c r="Q23" i="73"/>
  <c r="P23" i="73"/>
  <c r="S22" i="73"/>
  <c r="R22" i="73"/>
  <c r="Q22" i="73"/>
  <c r="P22" i="73"/>
  <c r="T12" i="73"/>
  <c r="S12" i="73"/>
  <c r="R12" i="73"/>
  <c r="Q12" i="73"/>
  <c r="P12" i="73"/>
  <c r="T9" i="73"/>
  <c r="S9" i="73"/>
  <c r="R9" i="73"/>
  <c r="Q9" i="73"/>
  <c r="P9" i="73"/>
  <c r="H17" i="74" l="1"/>
  <c r="H45" i="74"/>
  <c r="U45" i="75"/>
  <c r="U17" i="75"/>
  <c r="V17" i="75"/>
  <c r="V22" i="75"/>
  <c r="V45" i="75" s="1"/>
  <c r="V40" i="74"/>
  <c r="V38" i="74"/>
  <c r="V36" i="74"/>
  <c r="V34" i="74"/>
  <c r="V32" i="74"/>
  <c r="V30" i="74"/>
  <c r="V28" i="74"/>
  <c r="V26" i="74"/>
  <c r="V24" i="74"/>
  <c r="V31" i="74"/>
  <c r="V41" i="74"/>
  <c r="V43" i="74"/>
  <c r="V10" i="74"/>
  <c r="V11" i="74"/>
  <c r="V12" i="74"/>
  <c r="V23" i="74"/>
  <c r="V25" i="74"/>
  <c r="V27" i="74"/>
  <c r="V29" i="74"/>
  <c r="V33" i="74"/>
  <c r="V35" i="74"/>
  <c r="V37" i="74"/>
  <c r="V39" i="74"/>
  <c r="U9" i="74"/>
  <c r="V9" i="74" s="1"/>
  <c r="V8" i="74"/>
  <c r="U22" i="74"/>
  <c r="U45" i="74" s="1"/>
  <c r="P17" i="73"/>
  <c r="N45" i="73"/>
  <c r="M45" i="73"/>
  <c r="L45" i="73"/>
  <c r="K45" i="73"/>
  <c r="J45" i="73"/>
  <c r="I45" i="73"/>
  <c r="G45" i="73"/>
  <c r="F45" i="73"/>
  <c r="E45" i="73"/>
  <c r="D45" i="73"/>
  <c r="C45" i="73"/>
  <c r="U43" i="73"/>
  <c r="H43" i="73"/>
  <c r="U42" i="73"/>
  <c r="H42" i="73"/>
  <c r="U41" i="73"/>
  <c r="H41" i="73"/>
  <c r="U40" i="73"/>
  <c r="H40" i="73"/>
  <c r="U39" i="73"/>
  <c r="H39" i="73"/>
  <c r="U38" i="73"/>
  <c r="H38" i="73"/>
  <c r="U37" i="73"/>
  <c r="H37" i="73"/>
  <c r="U36" i="73"/>
  <c r="H36" i="73"/>
  <c r="U35" i="73"/>
  <c r="H35" i="73"/>
  <c r="V35" i="73" s="1"/>
  <c r="U34" i="73"/>
  <c r="H34" i="73"/>
  <c r="U33" i="73"/>
  <c r="H33" i="73"/>
  <c r="U32" i="73"/>
  <c r="H32" i="73"/>
  <c r="U31" i="73"/>
  <c r="H31" i="73"/>
  <c r="T45" i="73"/>
  <c r="U30" i="73"/>
  <c r="H30" i="73"/>
  <c r="U29" i="73"/>
  <c r="H29" i="73"/>
  <c r="U28" i="73"/>
  <c r="H28" i="73"/>
  <c r="U27" i="73"/>
  <c r="H27" i="73"/>
  <c r="V27" i="73" s="1"/>
  <c r="U26" i="73"/>
  <c r="H26" i="73"/>
  <c r="U25" i="73"/>
  <c r="H25" i="73"/>
  <c r="U24" i="73"/>
  <c r="V24" i="73" s="1"/>
  <c r="H24" i="73"/>
  <c r="U23" i="73"/>
  <c r="H23" i="73"/>
  <c r="S45" i="73"/>
  <c r="R45" i="73"/>
  <c r="Q45" i="73"/>
  <c r="P45" i="73"/>
  <c r="U22" i="73"/>
  <c r="H22" i="73"/>
  <c r="N17" i="73"/>
  <c r="M17" i="73"/>
  <c r="L17" i="73"/>
  <c r="K17" i="73"/>
  <c r="J17" i="73"/>
  <c r="I17" i="73"/>
  <c r="F17" i="73"/>
  <c r="D17" i="73"/>
  <c r="C17" i="73"/>
  <c r="U16" i="73"/>
  <c r="H16" i="73"/>
  <c r="V16" i="73" s="1"/>
  <c r="U15" i="73"/>
  <c r="H15" i="73"/>
  <c r="V15" i="73" s="1"/>
  <c r="U14" i="73"/>
  <c r="H14" i="73"/>
  <c r="V14" i="73" s="1"/>
  <c r="U13" i="73"/>
  <c r="H13" i="73"/>
  <c r="V13" i="73" s="1"/>
  <c r="T17" i="73"/>
  <c r="R17" i="73"/>
  <c r="U12" i="73"/>
  <c r="H12" i="73"/>
  <c r="U11" i="73"/>
  <c r="H11" i="73"/>
  <c r="U10" i="73"/>
  <c r="H10" i="73"/>
  <c r="S17" i="73"/>
  <c r="Q17" i="73"/>
  <c r="O17" i="73"/>
  <c r="H9" i="73"/>
  <c r="U8" i="73"/>
  <c r="H8" i="73"/>
  <c r="H17" i="73" s="1"/>
  <c r="V23" i="73" l="1"/>
  <c r="H45" i="73"/>
  <c r="U17" i="74"/>
  <c r="V22" i="74"/>
  <c r="V45" i="74" s="1"/>
  <c r="V17" i="74"/>
  <c r="V43" i="73"/>
  <c r="V39" i="73"/>
  <c r="V37" i="73"/>
  <c r="V33" i="73"/>
  <c r="V31" i="73"/>
  <c r="V29" i="73"/>
  <c r="V41" i="73"/>
  <c r="V25" i="73"/>
  <c r="V26" i="73"/>
  <c r="V28" i="73"/>
  <c r="V32" i="73"/>
  <c r="V34" i="73"/>
  <c r="V36" i="73"/>
  <c r="V38" i="73"/>
  <c r="V10" i="73"/>
  <c r="V11" i="73"/>
  <c r="U45" i="73"/>
  <c r="V22" i="73"/>
  <c r="V12" i="73"/>
  <c r="V30" i="73"/>
  <c r="V40" i="73"/>
  <c r="V42" i="73"/>
  <c r="V8" i="73"/>
  <c r="U9" i="73"/>
  <c r="U17" i="73" s="1"/>
  <c r="O45" i="73"/>
  <c r="V9" i="73" l="1"/>
  <c r="V17" i="73" s="1"/>
  <c r="V45" i="73"/>
  <c r="P43" i="72"/>
  <c r="Q43" i="72"/>
  <c r="U43" i="72" s="1"/>
  <c r="R43" i="72"/>
  <c r="S43" i="72"/>
  <c r="T43" i="72"/>
  <c r="P42" i="72"/>
  <c r="Q42" i="72"/>
  <c r="R42" i="72"/>
  <c r="S42" i="72"/>
  <c r="T42" i="72"/>
  <c r="O43" i="72"/>
  <c r="O42" i="72"/>
  <c r="P41" i="72"/>
  <c r="Q41" i="72"/>
  <c r="R41" i="72"/>
  <c r="S41" i="72"/>
  <c r="T41" i="72"/>
  <c r="O41" i="72"/>
  <c r="P40" i="72"/>
  <c r="Q40" i="72"/>
  <c r="R40" i="72"/>
  <c r="S40" i="72"/>
  <c r="U40" i="72" s="1"/>
  <c r="T40" i="72"/>
  <c r="O40" i="72"/>
  <c r="P39" i="72"/>
  <c r="Q39" i="72"/>
  <c r="R39" i="72"/>
  <c r="S39" i="72"/>
  <c r="O39" i="72"/>
  <c r="P38" i="72"/>
  <c r="Q38" i="72"/>
  <c r="R38" i="72"/>
  <c r="S38" i="72"/>
  <c r="O38" i="72"/>
  <c r="P37" i="72"/>
  <c r="Q37" i="72"/>
  <c r="R37" i="72"/>
  <c r="S37" i="72"/>
  <c r="U37" i="72" s="1"/>
  <c r="O37" i="72"/>
  <c r="P36" i="72"/>
  <c r="Q36" i="72"/>
  <c r="R36" i="72"/>
  <c r="S36" i="72"/>
  <c r="O36" i="72"/>
  <c r="P35" i="72"/>
  <c r="Q35" i="72"/>
  <c r="R35" i="72"/>
  <c r="S35" i="72"/>
  <c r="O35" i="72"/>
  <c r="U35" i="72" s="1"/>
  <c r="P34" i="72"/>
  <c r="Q34" i="72"/>
  <c r="R34" i="72"/>
  <c r="S34" i="72"/>
  <c r="O34" i="72"/>
  <c r="P33" i="72"/>
  <c r="Q33" i="72"/>
  <c r="R33" i="72"/>
  <c r="U33" i="72" s="1"/>
  <c r="S33" i="72"/>
  <c r="O33" i="72"/>
  <c r="P32" i="72"/>
  <c r="Q32" i="72"/>
  <c r="R32" i="72"/>
  <c r="S32" i="72"/>
  <c r="O32" i="72"/>
  <c r="P31" i="72"/>
  <c r="Q31" i="72"/>
  <c r="R31" i="72"/>
  <c r="S31" i="72"/>
  <c r="T31" i="72"/>
  <c r="T45" i="72" s="1"/>
  <c r="O31" i="72"/>
  <c r="P30" i="72"/>
  <c r="Q30" i="72"/>
  <c r="R30" i="72"/>
  <c r="S30" i="72"/>
  <c r="U30" i="72" s="1"/>
  <c r="T30" i="72"/>
  <c r="O30" i="72"/>
  <c r="P29" i="72"/>
  <c r="Q29" i="72"/>
  <c r="R29" i="72"/>
  <c r="S29" i="72"/>
  <c r="O29" i="72"/>
  <c r="P28" i="72"/>
  <c r="Q28" i="72"/>
  <c r="R28" i="72"/>
  <c r="S28" i="72"/>
  <c r="O28" i="72"/>
  <c r="P27" i="72"/>
  <c r="Q27" i="72"/>
  <c r="R27" i="72"/>
  <c r="S27" i="72"/>
  <c r="U27" i="72" s="1"/>
  <c r="O27" i="72"/>
  <c r="P26" i="72"/>
  <c r="Q26" i="72"/>
  <c r="R26" i="72"/>
  <c r="U26" i="72" s="1"/>
  <c r="S26" i="72"/>
  <c r="O26" i="72"/>
  <c r="U25" i="72"/>
  <c r="P24" i="72"/>
  <c r="P45" i="72" s="1"/>
  <c r="Q24" i="72"/>
  <c r="R24" i="72"/>
  <c r="S24" i="72"/>
  <c r="O24" i="72"/>
  <c r="O45" i="72" s="1"/>
  <c r="P23" i="72"/>
  <c r="Q23" i="72"/>
  <c r="R23" i="72"/>
  <c r="S23" i="72"/>
  <c r="U23" i="72" s="1"/>
  <c r="O23" i="72"/>
  <c r="P22" i="72"/>
  <c r="Q22" i="72"/>
  <c r="Q45" i="72" s="1"/>
  <c r="R22" i="72"/>
  <c r="R45" i="72" s="1"/>
  <c r="S22" i="72"/>
  <c r="O22" i="72"/>
  <c r="P12" i="72"/>
  <c r="P17" i="72" s="1"/>
  <c r="Q12" i="72"/>
  <c r="R12" i="72"/>
  <c r="S12" i="72"/>
  <c r="T12" i="72"/>
  <c r="O12" i="72"/>
  <c r="T9" i="72"/>
  <c r="P9" i="72"/>
  <c r="Q9" i="72"/>
  <c r="U9" i="72" s="1"/>
  <c r="R9" i="72"/>
  <c r="S9" i="72"/>
  <c r="O9" i="72"/>
  <c r="M45" i="72"/>
  <c r="L45" i="72"/>
  <c r="K45" i="72"/>
  <c r="J45" i="72"/>
  <c r="I45" i="72"/>
  <c r="G45" i="72"/>
  <c r="F45" i="72"/>
  <c r="E45" i="72"/>
  <c r="D45" i="72"/>
  <c r="C45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U31" i="72"/>
  <c r="H31" i="72"/>
  <c r="H30" i="72"/>
  <c r="H29" i="72"/>
  <c r="H28" i="72"/>
  <c r="H27" i="72"/>
  <c r="H26" i="72"/>
  <c r="H25" i="72"/>
  <c r="H24" i="72"/>
  <c r="H23" i="72"/>
  <c r="N45" i="72"/>
  <c r="H22" i="72"/>
  <c r="M17" i="72"/>
  <c r="L17" i="72"/>
  <c r="K17" i="72"/>
  <c r="J17" i="72"/>
  <c r="I17" i="72"/>
  <c r="F17" i="72"/>
  <c r="D17" i="72"/>
  <c r="C17" i="72"/>
  <c r="U16" i="72"/>
  <c r="H16" i="72"/>
  <c r="V16" i="72" s="1"/>
  <c r="U15" i="72"/>
  <c r="H15" i="72"/>
  <c r="U14" i="72"/>
  <c r="H14" i="72"/>
  <c r="U13" i="72"/>
  <c r="V13" i="72" s="1"/>
  <c r="H13" i="72"/>
  <c r="H12" i="72"/>
  <c r="U11" i="72"/>
  <c r="H11" i="72"/>
  <c r="U10" i="72"/>
  <c r="H10" i="72"/>
  <c r="T17" i="72"/>
  <c r="O17" i="72"/>
  <c r="H9" i="72"/>
  <c r="U8" i="72"/>
  <c r="R17" i="72"/>
  <c r="N17" i="72"/>
  <c r="H8" i="72"/>
  <c r="H17" i="72" s="1"/>
  <c r="O43" i="71"/>
  <c r="P43" i="71"/>
  <c r="Q43" i="71"/>
  <c r="R43" i="71"/>
  <c r="U43" i="71" s="1"/>
  <c r="S43" i="71"/>
  <c r="T43" i="71"/>
  <c r="N43" i="71"/>
  <c r="O42" i="71"/>
  <c r="P42" i="71"/>
  <c r="Q42" i="71"/>
  <c r="R42" i="71"/>
  <c r="S42" i="71"/>
  <c r="T42" i="71"/>
  <c r="N42" i="71"/>
  <c r="O41" i="71"/>
  <c r="P41" i="71"/>
  <c r="Q41" i="71"/>
  <c r="R41" i="71"/>
  <c r="S41" i="71"/>
  <c r="T41" i="71"/>
  <c r="N41" i="71"/>
  <c r="O40" i="71"/>
  <c r="P40" i="71"/>
  <c r="Q40" i="71"/>
  <c r="R40" i="71"/>
  <c r="S40" i="71"/>
  <c r="T40" i="71"/>
  <c r="N40" i="71"/>
  <c r="O39" i="71"/>
  <c r="P39" i="71"/>
  <c r="Q39" i="71"/>
  <c r="R39" i="71"/>
  <c r="S39" i="71"/>
  <c r="N39" i="71"/>
  <c r="O38" i="71"/>
  <c r="P38" i="71"/>
  <c r="Q38" i="71"/>
  <c r="R38" i="71"/>
  <c r="S38" i="71"/>
  <c r="N38" i="71"/>
  <c r="U38" i="71" s="1"/>
  <c r="O37" i="71"/>
  <c r="P37" i="71"/>
  <c r="Q37" i="71"/>
  <c r="R37" i="71"/>
  <c r="U37" i="71" s="1"/>
  <c r="S37" i="71"/>
  <c r="N37" i="71"/>
  <c r="O36" i="71"/>
  <c r="P36" i="71"/>
  <c r="Q36" i="71"/>
  <c r="R36" i="71"/>
  <c r="S36" i="71"/>
  <c r="N36" i="71"/>
  <c r="O35" i="71"/>
  <c r="P35" i="71"/>
  <c r="Q35" i="71"/>
  <c r="R35" i="71"/>
  <c r="S35" i="71"/>
  <c r="N35" i="71"/>
  <c r="O34" i="71"/>
  <c r="P34" i="71"/>
  <c r="Q34" i="71"/>
  <c r="R34" i="71"/>
  <c r="S34" i="71"/>
  <c r="N34" i="71"/>
  <c r="O33" i="71"/>
  <c r="P33" i="71"/>
  <c r="Q33" i="71"/>
  <c r="U33" i="71" s="1"/>
  <c r="R33" i="71"/>
  <c r="S33" i="71"/>
  <c r="N33" i="71"/>
  <c r="O32" i="71"/>
  <c r="P32" i="71"/>
  <c r="Q32" i="71"/>
  <c r="R32" i="71"/>
  <c r="S32" i="71"/>
  <c r="N32" i="71"/>
  <c r="O31" i="71"/>
  <c r="P31" i="71"/>
  <c r="Q31" i="71"/>
  <c r="R31" i="71"/>
  <c r="U31" i="71" s="1"/>
  <c r="S31" i="71"/>
  <c r="T31" i="71"/>
  <c r="N31" i="71"/>
  <c r="T30" i="71"/>
  <c r="T45" i="71" s="1"/>
  <c r="O30" i="71"/>
  <c r="P30" i="71"/>
  <c r="Q30" i="71"/>
  <c r="R30" i="71"/>
  <c r="U30" i="71" s="1"/>
  <c r="V30" i="71" s="1"/>
  <c r="S30" i="71"/>
  <c r="N30" i="71"/>
  <c r="O29" i="71"/>
  <c r="P29" i="71"/>
  <c r="Q29" i="71"/>
  <c r="R29" i="71"/>
  <c r="S29" i="71"/>
  <c r="N29" i="71"/>
  <c r="O28" i="71"/>
  <c r="P28" i="71"/>
  <c r="Q28" i="71"/>
  <c r="R28" i="71"/>
  <c r="S28" i="71"/>
  <c r="N28" i="71"/>
  <c r="O27" i="71"/>
  <c r="P27" i="71"/>
  <c r="Q27" i="71"/>
  <c r="R27" i="71"/>
  <c r="S27" i="71"/>
  <c r="N27" i="71"/>
  <c r="O26" i="71"/>
  <c r="P26" i="71"/>
  <c r="Q26" i="71"/>
  <c r="R26" i="71"/>
  <c r="U26" i="71" s="1"/>
  <c r="S26" i="71"/>
  <c r="N26" i="71"/>
  <c r="O25" i="71"/>
  <c r="P25" i="71"/>
  <c r="Q25" i="71"/>
  <c r="R25" i="71"/>
  <c r="S25" i="71"/>
  <c r="N25" i="71"/>
  <c r="O24" i="71"/>
  <c r="P24" i="71"/>
  <c r="Q24" i="71"/>
  <c r="R24" i="71"/>
  <c r="U24" i="71" s="1"/>
  <c r="S24" i="71"/>
  <c r="N24" i="71"/>
  <c r="O23" i="71"/>
  <c r="O45" i="71" s="1"/>
  <c r="P23" i="71"/>
  <c r="P45" i="71" s="1"/>
  <c r="Q23" i="71"/>
  <c r="R23" i="71"/>
  <c r="S23" i="71"/>
  <c r="N23" i="71"/>
  <c r="N45" i="71" s="1"/>
  <c r="O22" i="71"/>
  <c r="P22" i="71"/>
  <c r="Q22" i="71"/>
  <c r="R22" i="71"/>
  <c r="S22" i="71"/>
  <c r="N22" i="71"/>
  <c r="O12" i="71"/>
  <c r="P12" i="71"/>
  <c r="Q12" i="71"/>
  <c r="R12" i="71"/>
  <c r="S12" i="71"/>
  <c r="T12" i="71"/>
  <c r="N12" i="71"/>
  <c r="U10" i="71"/>
  <c r="O9" i="71"/>
  <c r="O17" i="71" s="1"/>
  <c r="P9" i="71"/>
  <c r="Q9" i="71"/>
  <c r="R9" i="71"/>
  <c r="S9" i="71"/>
  <c r="T9" i="71"/>
  <c r="N9" i="71"/>
  <c r="O8" i="71"/>
  <c r="P8" i="71"/>
  <c r="P17" i="71" s="1"/>
  <c r="Q8" i="71"/>
  <c r="R8" i="71"/>
  <c r="S8" i="71"/>
  <c r="N8" i="71"/>
  <c r="L45" i="71"/>
  <c r="K45" i="71"/>
  <c r="J45" i="71"/>
  <c r="I45" i="71"/>
  <c r="G45" i="71"/>
  <c r="F45" i="71"/>
  <c r="E45" i="71"/>
  <c r="D45" i="71"/>
  <c r="C45" i="71"/>
  <c r="H43" i="71"/>
  <c r="H42" i="71"/>
  <c r="H41" i="71"/>
  <c r="H40" i="71"/>
  <c r="H39" i="71"/>
  <c r="H38" i="71"/>
  <c r="H37" i="71"/>
  <c r="H36" i="71"/>
  <c r="H35" i="71"/>
  <c r="U34" i="71"/>
  <c r="H34" i="71"/>
  <c r="H33" i="71"/>
  <c r="H32" i="71"/>
  <c r="H31" i="71"/>
  <c r="H30" i="71"/>
  <c r="H29" i="71"/>
  <c r="H28" i="71"/>
  <c r="U27" i="71"/>
  <c r="H27" i="71"/>
  <c r="H26" i="71"/>
  <c r="H25" i="71"/>
  <c r="H24" i="71"/>
  <c r="H23" i="71"/>
  <c r="M45" i="71"/>
  <c r="H22" i="71"/>
  <c r="L17" i="71"/>
  <c r="K17" i="71"/>
  <c r="J17" i="71"/>
  <c r="I17" i="71"/>
  <c r="F17" i="71"/>
  <c r="D17" i="71"/>
  <c r="C17" i="71"/>
  <c r="U16" i="71"/>
  <c r="H16" i="71"/>
  <c r="U15" i="71"/>
  <c r="H15" i="71"/>
  <c r="U14" i="71"/>
  <c r="V14" i="71" s="1"/>
  <c r="H14" i="71"/>
  <c r="U13" i="71"/>
  <c r="H13" i="71"/>
  <c r="V13" i="71" s="1"/>
  <c r="H12" i="71"/>
  <c r="U11" i="71"/>
  <c r="H11" i="71"/>
  <c r="H10" i="71"/>
  <c r="T17" i="71"/>
  <c r="H9" i="71"/>
  <c r="S17" i="71"/>
  <c r="Q17" i="71"/>
  <c r="H8" i="71"/>
  <c r="H17" i="71" s="1"/>
  <c r="N43" i="70"/>
  <c r="O43" i="70"/>
  <c r="P43" i="70"/>
  <c r="Q43" i="70"/>
  <c r="R43" i="70"/>
  <c r="S43" i="70"/>
  <c r="T43" i="70"/>
  <c r="M43" i="70"/>
  <c r="N42" i="70"/>
  <c r="O42" i="70"/>
  <c r="P42" i="70"/>
  <c r="Q42" i="70"/>
  <c r="R42" i="70"/>
  <c r="S42" i="70"/>
  <c r="T42" i="70"/>
  <c r="M42" i="70"/>
  <c r="N41" i="70"/>
  <c r="O41" i="70"/>
  <c r="P41" i="70"/>
  <c r="Q41" i="70"/>
  <c r="R41" i="70"/>
  <c r="S41" i="70"/>
  <c r="T41" i="70"/>
  <c r="M41" i="70"/>
  <c r="N40" i="70"/>
  <c r="O40" i="70"/>
  <c r="P40" i="70"/>
  <c r="Q40" i="70"/>
  <c r="R40" i="70"/>
  <c r="S40" i="70"/>
  <c r="T40" i="70"/>
  <c r="M40" i="70"/>
  <c r="N39" i="70"/>
  <c r="O39" i="70"/>
  <c r="P39" i="70"/>
  <c r="Q39" i="70"/>
  <c r="R39" i="70"/>
  <c r="S39" i="70"/>
  <c r="M39" i="70"/>
  <c r="N38" i="70"/>
  <c r="O38" i="70"/>
  <c r="P38" i="70"/>
  <c r="Q38" i="70"/>
  <c r="R38" i="70"/>
  <c r="S38" i="70"/>
  <c r="M38" i="70"/>
  <c r="N36" i="70"/>
  <c r="O36" i="70"/>
  <c r="P36" i="70"/>
  <c r="Q36" i="70"/>
  <c r="R36" i="70"/>
  <c r="S36" i="70"/>
  <c r="M36" i="70"/>
  <c r="N35" i="70"/>
  <c r="O35" i="70"/>
  <c r="P35" i="70"/>
  <c r="Q35" i="70"/>
  <c r="R35" i="70"/>
  <c r="S35" i="70"/>
  <c r="M35" i="70"/>
  <c r="N33" i="70"/>
  <c r="O33" i="70"/>
  <c r="P33" i="70"/>
  <c r="Q33" i="70"/>
  <c r="R33" i="70"/>
  <c r="S33" i="70"/>
  <c r="M33" i="70"/>
  <c r="N32" i="70"/>
  <c r="O32" i="70"/>
  <c r="P32" i="70"/>
  <c r="Q32" i="70"/>
  <c r="R32" i="70"/>
  <c r="S32" i="70"/>
  <c r="M32" i="70"/>
  <c r="N31" i="70"/>
  <c r="O31" i="70"/>
  <c r="P31" i="70"/>
  <c r="Q31" i="70"/>
  <c r="R31" i="70"/>
  <c r="S31" i="70"/>
  <c r="T31" i="70"/>
  <c r="M31" i="70"/>
  <c r="N30" i="70"/>
  <c r="O30" i="70"/>
  <c r="P30" i="70"/>
  <c r="Q30" i="70"/>
  <c r="R30" i="70"/>
  <c r="S30" i="70"/>
  <c r="T30" i="70"/>
  <c r="M30" i="70"/>
  <c r="N29" i="70"/>
  <c r="O29" i="70"/>
  <c r="P29" i="70"/>
  <c r="Q29" i="70"/>
  <c r="R29" i="70"/>
  <c r="S29" i="70"/>
  <c r="M29" i="70"/>
  <c r="N28" i="70"/>
  <c r="O28" i="70"/>
  <c r="P28" i="70"/>
  <c r="Q28" i="70"/>
  <c r="R28" i="70"/>
  <c r="S28" i="70"/>
  <c r="M28" i="70"/>
  <c r="N26" i="70"/>
  <c r="O26" i="70"/>
  <c r="P26" i="70"/>
  <c r="Q26" i="70"/>
  <c r="R26" i="70"/>
  <c r="S26" i="70"/>
  <c r="M26" i="70"/>
  <c r="N27" i="70"/>
  <c r="O27" i="70"/>
  <c r="P27" i="70"/>
  <c r="Q27" i="70"/>
  <c r="R27" i="70"/>
  <c r="S27" i="70"/>
  <c r="M27" i="70"/>
  <c r="N25" i="70"/>
  <c r="O25" i="70"/>
  <c r="P25" i="70"/>
  <c r="Q25" i="70"/>
  <c r="R25" i="70"/>
  <c r="S25" i="70"/>
  <c r="M25" i="70"/>
  <c r="N24" i="70"/>
  <c r="O24" i="70"/>
  <c r="P24" i="70"/>
  <c r="Q24" i="70"/>
  <c r="R24" i="70"/>
  <c r="S24" i="70"/>
  <c r="M24" i="70"/>
  <c r="N23" i="70"/>
  <c r="O23" i="70"/>
  <c r="P23" i="70"/>
  <c r="Q23" i="70"/>
  <c r="R23" i="70"/>
  <c r="S23" i="70"/>
  <c r="M23" i="70"/>
  <c r="N22" i="70"/>
  <c r="O22" i="70"/>
  <c r="P22" i="70"/>
  <c r="Q22" i="70"/>
  <c r="R22" i="70"/>
  <c r="S22" i="70"/>
  <c r="M22" i="70"/>
  <c r="U8" i="71" l="1"/>
  <c r="U35" i="71"/>
  <c r="V35" i="71" s="1"/>
  <c r="U39" i="71"/>
  <c r="U42" i="71"/>
  <c r="V42" i="71" s="1"/>
  <c r="U28" i="72"/>
  <c r="U34" i="72"/>
  <c r="U38" i="72"/>
  <c r="V38" i="72" s="1"/>
  <c r="U42" i="72"/>
  <c r="V42" i="72" s="1"/>
  <c r="U36" i="71"/>
  <c r="V15" i="71"/>
  <c r="U9" i="71"/>
  <c r="U17" i="71" s="1"/>
  <c r="V16" i="71"/>
  <c r="N17" i="71"/>
  <c r="U25" i="71"/>
  <c r="V25" i="71" s="1"/>
  <c r="U28" i="71"/>
  <c r="U29" i="71"/>
  <c r="V29" i="71" s="1"/>
  <c r="U32" i="71"/>
  <c r="U41" i="71"/>
  <c r="V41" i="71" s="1"/>
  <c r="U12" i="72"/>
  <c r="V12" i="72" s="1"/>
  <c r="U29" i="72"/>
  <c r="V29" i="72" s="1"/>
  <c r="U39" i="72"/>
  <c r="U41" i="72"/>
  <c r="U40" i="71"/>
  <c r="V40" i="71" s="1"/>
  <c r="Q17" i="72"/>
  <c r="V15" i="72"/>
  <c r="H45" i="72"/>
  <c r="U32" i="72"/>
  <c r="U36" i="72"/>
  <c r="V36" i="72" s="1"/>
  <c r="V40" i="72"/>
  <c r="V37" i="72"/>
  <c r="V35" i="72"/>
  <c r="V33" i="72"/>
  <c r="V28" i="72"/>
  <c r="V23" i="72"/>
  <c r="S45" i="72"/>
  <c r="V30" i="72"/>
  <c r="V39" i="72"/>
  <c r="V26" i="72"/>
  <c r="V34" i="72"/>
  <c r="S17" i="72"/>
  <c r="V11" i="72"/>
  <c r="V14" i="72"/>
  <c r="V27" i="72"/>
  <c r="V41" i="72"/>
  <c r="V43" i="72"/>
  <c r="V9" i="72"/>
  <c r="V10" i="72"/>
  <c r="V25" i="72"/>
  <c r="V31" i="72"/>
  <c r="V32" i="72"/>
  <c r="V8" i="72"/>
  <c r="U24" i="72"/>
  <c r="V24" i="72" s="1"/>
  <c r="U22" i="72"/>
  <c r="V22" i="72" s="1"/>
  <c r="V43" i="71"/>
  <c r="V37" i="71"/>
  <c r="V36" i="71"/>
  <c r="V34" i="71"/>
  <c r="Q45" i="71"/>
  <c r="V31" i="71"/>
  <c r="V28" i="71"/>
  <c r="V26" i="71"/>
  <c r="S45" i="71"/>
  <c r="V24" i="71"/>
  <c r="R45" i="71"/>
  <c r="V32" i="71"/>
  <c r="V27" i="71"/>
  <c r="V38" i="71"/>
  <c r="U12" i="71"/>
  <c r="V12" i="71" s="1"/>
  <c r="R17" i="71"/>
  <c r="V11" i="71"/>
  <c r="V10" i="71"/>
  <c r="V8" i="71"/>
  <c r="V33" i="71"/>
  <c r="V39" i="71"/>
  <c r="H45" i="71"/>
  <c r="U22" i="71"/>
  <c r="M17" i="71"/>
  <c r="U23" i="71"/>
  <c r="V23" i="71" s="1"/>
  <c r="U36" i="70"/>
  <c r="H36" i="70"/>
  <c r="N12" i="70"/>
  <c r="O12" i="70"/>
  <c r="P12" i="70"/>
  <c r="U12" i="70" s="1"/>
  <c r="Q12" i="70"/>
  <c r="R12" i="70"/>
  <c r="S12" i="70"/>
  <c r="T12" i="70"/>
  <c r="M12" i="70"/>
  <c r="N9" i="70"/>
  <c r="O9" i="70"/>
  <c r="P9" i="70"/>
  <c r="Q9" i="70"/>
  <c r="R9" i="70"/>
  <c r="S9" i="70"/>
  <c r="T9" i="70"/>
  <c r="M9" i="70"/>
  <c r="N8" i="70"/>
  <c r="O8" i="70"/>
  <c r="O17" i="70" s="1"/>
  <c r="P8" i="70"/>
  <c r="Q8" i="70"/>
  <c r="R8" i="70"/>
  <c r="S8" i="70"/>
  <c r="M8" i="70"/>
  <c r="U8" i="70" s="1"/>
  <c r="K45" i="70"/>
  <c r="J45" i="70"/>
  <c r="I45" i="70"/>
  <c r="G45" i="70"/>
  <c r="F45" i="70"/>
  <c r="E45" i="70"/>
  <c r="D45" i="70"/>
  <c r="C45" i="70"/>
  <c r="U43" i="70"/>
  <c r="H43" i="70"/>
  <c r="U42" i="70"/>
  <c r="H42" i="70"/>
  <c r="U41" i="70"/>
  <c r="H41" i="70"/>
  <c r="U40" i="70"/>
  <c r="H40" i="70"/>
  <c r="U39" i="70"/>
  <c r="H39" i="70"/>
  <c r="U38" i="70"/>
  <c r="V38" i="70" s="1"/>
  <c r="H38" i="70"/>
  <c r="S37" i="70"/>
  <c r="R37" i="70"/>
  <c r="Q37" i="70"/>
  <c r="P37" i="70"/>
  <c r="O37" i="70"/>
  <c r="U37" i="70" s="1"/>
  <c r="H37" i="70"/>
  <c r="U35" i="70"/>
  <c r="H35" i="70"/>
  <c r="S34" i="70"/>
  <c r="R34" i="70"/>
  <c r="R45" i="70" s="1"/>
  <c r="Q34" i="70"/>
  <c r="P34" i="70"/>
  <c r="O34" i="70"/>
  <c r="H34" i="70"/>
  <c r="U33" i="70"/>
  <c r="H33" i="70"/>
  <c r="U32" i="70"/>
  <c r="H32" i="70"/>
  <c r="U31" i="70"/>
  <c r="H31" i="70"/>
  <c r="T45" i="70"/>
  <c r="U30" i="70"/>
  <c r="V30" i="70" s="1"/>
  <c r="H30" i="70"/>
  <c r="U29" i="70"/>
  <c r="H29" i="70"/>
  <c r="U28" i="70"/>
  <c r="H28" i="70"/>
  <c r="U27" i="70"/>
  <c r="H27" i="70"/>
  <c r="S45" i="70"/>
  <c r="U26" i="70"/>
  <c r="H26" i="70"/>
  <c r="U25" i="70"/>
  <c r="H25" i="70"/>
  <c r="N45" i="70"/>
  <c r="M45" i="70"/>
  <c r="U24" i="70"/>
  <c r="H24" i="70"/>
  <c r="U23" i="70"/>
  <c r="H23" i="70"/>
  <c r="U22" i="70"/>
  <c r="Q45" i="70"/>
  <c r="P45" i="70"/>
  <c r="H22" i="70"/>
  <c r="H45" i="70" s="1"/>
  <c r="K17" i="70"/>
  <c r="J17" i="70"/>
  <c r="I17" i="70"/>
  <c r="F17" i="70"/>
  <c r="D17" i="70"/>
  <c r="C17" i="70"/>
  <c r="U16" i="70"/>
  <c r="H16" i="70"/>
  <c r="V16" i="70" s="1"/>
  <c r="U15" i="70"/>
  <c r="H15" i="70"/>
  <c r="U14" i="70"/>
  <c r="H14" i="70"/>
  <c r="U13" i="70"/>
  <c r="H13" i="70"/>
  <c r="H12" i="70"/>
  <c r="U11" i="70"/>
  <c r="H11" i="70"/>
  <c r="H10" i="70"/>
  <c r="H9" i="70"/>
  <c r="S17" i="70"/>
  <c r="R17" i="70"/>
  <c r="N17" i="70"/>
  <c r="L17" i="70"/>
  <c r="H8" i="70"/>
  <c r="T17" i="70" l="1"/>
  <c r="V9" i="71"/>
  <c r="U17" i="72"/>
  <c r="U34" i="70"/>
  <c r="U45" i="70" s="1"/>
  <c r="O45" i="70"/>
  <c r="V31" i="70"/>
  <c r="V17" i="72"/>
  <c r="U45" i="72"/>
  <c r="V45" i="72"/>
  <c r="U45" i="71"/>
  <c r="V22" i="71"/>
  <c r="V45" i="71" s="1"/>
  <c r="V17" i="71"/>
  <c r="V26" i="70"/>
  <c r="V37" i="70"/>
  <c r="V23" i="70"/>
  <c r="V36" i="70"/>
  <c r="V11" i="70"/>
  <c r="V15" i="70"/>
  <c r="V24" i="70"/>
  <c r="V25" i="70"/>
  <c r="V28" i="70"/>
  <c r="V40" i="70"/>
  <c r="V42" i="70"/>
  <c r="V14" i="70"/>
  <c r="V29" i="70"/>
  <c r="P17" i="70"/>
  <c r="V12" i="70"/>
  <c r="Q17" i="70"/>
  <c r="H17" i="70"/>
  <c r="V13" i="70"/>
  <c r="V27" i="70"/>
  <c r="V32" i="70"/>
  <c r="V35" i="70"/>
  <c r="V41" i="70"/>
  <c r="V43" i="70"/>
  <c r="V33" i="70"/>
  <c r="V39" i="70"/>
  <c r="U9" i="70"/>
  <c r="V8" i="70"/>
  <c r="V22" i="70"/>
  <c r="L45" i="70"/>
  <c r="T42" i="69"/>
  <c r="S42" i="69"/>
  <c r="R42" i="69"/>
  <c r="Q42" i="69"/>
  <c r="P42" i="69"/>
  <c r="O42" i="69"/>
  <c r="N42" i="69"/>
  <c r="M42" i="69"/>
  <c r="L42" i="69"/>
  <c r="T41" i="69"/>
  <c r="S41" i="69"/>
  <c r="R41" i="69"/>
  <c r="Q41" i="69"/>
  <c r="P41" i="69"/>
  <c r="O41" i="69"/>
  <c r="N41" i="69"/>
  <c r="M41" i="69"/>
  <c r="L41" i="69"/>
  <c r="T40" i="69"/>
  <c r="S40" i="69"/>
  <c r="R40" i="69"/>
  <c r="Q40" i="69"/>
  <c r="P40" i="69"/>
  <c r="O40" i="69"/>
  <c r="N40" i="69"/>
  <c r="M40" i="69"/>
  <c r="L40" i="69"/>
  <c r="T39" i="69"/>
  <c r="S39" i="69"/>
  <c r="R39" i="69"/>
  <c r="Q39" i="69"/>
  <c r="P39" i="69"/>
  <c r="O39" i="69"/>
  <c r="N39" i="69"/>
  <c r="M39" i="69"/>
  <c r="L39" i="69"/>
  <c r="S38" i="69"/>
  <c r="R38" i="69"/>
  <c r="Q38" i="69"/>
  <c r="P38" i="69"/>
  <c r="O38" i="69"/>
  <c r="N38" i="69"/>
  <c r="M38" i="69"/>
  <c r="L38" i="69"/>
  <c r="S37" i="69"/>
  <c r="R37" i="69"/>
  <c r="Q37" i="69"/>
  <c r="P37" i="69"/>
  <c r="O37" i="69"/>
  <c r="N37" i="69"/>
  <c r="M37" i="69"/>
  <c r="L37" i="69"/>
  <c r="S35" i="69"/>
  <c r="R35" i="69"/>
  <c r="Q35" i="69"/>
  <c r="P35" i="69"/>
  <c r="O35" i="69"/>
  <c r="N35" i="69"/>
  <c r="M35" i="69"/>
  <c r="L35" i="69"/>
  <c r="S33" i="69"/>
  <c r="R33" i="69"/>
  <c r="Q33" i="69"/>
  <c r="P33" i="69"/>
  <c r="O33" i="69"/>
  <c r="N33" i="69"/>
  <c r="M33" i="69"/>
  <c r="L33" i="69"/>
  <c r="S32" i="69"/>
  <c r="R32" i="69"/>
  <c r="Q32" i="69"/>
  <c r="P32" i="69"/>
  <c r="O32" i="69"/>
  <c r="N32" i="69"/>
  <c r="M32" i="69"/>
  <c r="L32" i="69"/>
  <c r="T31" i="69"/>
  <c r="S31" i="69"/>
  <c r="R31" i="69"/>
  <c r="Q31" i="69"/>
  <c r="P31" i="69"/>
  <c r="O31" i="69"/>
  <c r="N31" i="69"/>
  <c r="M31" i="69"/>
  <c r="L31" i="69"/>
  <c r="T30" i="69"/>
  <c r="S30" i="69"/>
  <c r="R30" i="69"/>
  <c r="Q30" i="69"/>
  <c r="P30" i="69"/>
  <c r="O30" i="69"/>
  <c r="N30" i="69"/>
  <c r="M30" i="69"/>
  <c r="L30" i="69"/>
  <c r="S29" i="69"/>
  <c r="R29" i="69"/>
  <c r="Q29" i="69"/>
  <c r="P29" i="69"/>
  <c r="O29" i="69"/>
  <c r="N29" i="69"/>
  <c r="M29" i="69"/>
  <c r="L29" i="69"/>
  <c r="S28" i="69"/>
  <c r="R28" i="69"/>
  <c r="Q28" i="69"/>
  <c r="P28" i="69"/>
  <c r="O28" i="69"/>
  <c r="N28" i="69"/>
  <c r="M28" i="69"/>
  <c r="L28" i="69"/>
  <c r="S26" i="69"/>
  <c r="R26" i="69"/>
  <c r="Q26" i="69"/>
  <c r="P26" i="69"/>
  <c r="O26" i="69"/>
  <c r="N26" i="69"/>
  <c r="M26" i="69"/>
  <c r="L26" i="69"/>
  <c r="S25" i="69"/>
  <c r="R25" i="69"/>
  <c r="Q25" i="69"/>
  <c r="P25" i="69"/>
  <c r="O25" i="69"/>
  <c r="N25" i="69"/>
  <c r="M25" i="69"/>
  <c r="L25" i="69"/>
  <c r="S24" i="69"/>
  <c r="R24" i="69"/>
  <c r="Q24" i="69"/>
  <c r="P24" i="69"/>
  <c r="O24" i="69"/>
  <c r="N24" i="69"/>
  <c r="M24" i="69"/>
  <c r="L24" i="69"/>
  <c r="T12" i="69"/>
  <c r="S12" i="69"/>
  <c r="R12" i="69"/>
  <c r="Q12" i="69"/>
  <c r="P12" i="69"/>
  <c r="O12" i="69"/>
  <c r="N12" i="69"/>
  <c r="M12" i="69"/>
  <c r="L12" i="69"/>
  <c r="T9" i="69"/>
  <c r="S9" i="69"/>
  <c r="R9" i="69"/>
  <c r="Q9" i="69"/>
  <c r="P9" i="69"/>
  <c r="O9" i="69"/>
  <c r="N9" i="69"/>
  <c r="M9" i="69"/>
  <c r="L9" i="69"/>
  <c r="S8" i="69"/>
  <c r="R8" i="69"/>
  <c r="Q8" i="69"/>
  <c r="P8" i="69"/>
  <c r="O8" i="69"/>
  <c r="N8" i="69"/>
  <c r="M8" i="69"/>
  <c r="L8" i="69"/>
  <c r="V34" i="70" l="1"/>
  <c r="V9" i="70"/>
  <c r="V45" i="70"/>
  <c r="L17" i="69"/>
  <c r="J44" i="69"/>
  <c r="I44" i="69"/>
  <c r="G44" i="69"/>
  <c r="F44" i="69"/>
  <c r="E44" i="69"/>
  <c r="D44" i="69"/>
  <c r="C44" i="69"/>
  <c r="U42" i="69"/>
  <c r="H42" i="69"/>
  <c r="U41" i="69"/>
  <c r="H41" i="69"/>
  <c r="U40" i="69"/>
  <c r="H40" i="69"/>
  <c r="U39" i="69"/>
  <c r="H39" i="69"/>
  <c r="U38" i="69"/>
  <c r="H38" i="69"/>
  <c r="U37" i="69"/>
  <c r="H37" i="69"/>
  <c r="V37" i="69" s="1"/>
  <c r="S36" i="69"/>
  <c r="R36" i="69"/>
  <c r="Q36" i="69"/>
  <c r="P36" i="69"/>
  <c r="O36" i="69"/>
  <c r="H36" i="69"/>
  <c r="U35" i="69"/>
  <c r="H35" i="69"/>
  <c r="S34" i="69"/>
  <c r="R34" i="69"/>
  <c r="Q34" i="69"/>
  <c r="P34" i="69"/>
  <c r="O34" i="69"/>
  <c r="H34" i="69"/>
  <c r="U33" i="69"/>
  <c r="H33" i="69"/>
  <c r="U32" i="69"/>
  <c r="H32" i="69"/>
  <c r="U31" i="69"/>
  <c r="H31" i="69"/>
  <c r="T44" i="69"/>
  <c r="U30" i="69"/>
  <c r="H30" i="69"/>
  <c r="U29" i="69"/>
  <c r="H29" i="69"/>
  <c r="V29" i="69" s="1"/>
  <c r="U28" i="69"/>
  <c r="H28" i="69"/>
  <c r="S27" i="69"/>
  <c r="R27" i="69"/>
  <c r="Q27" i="69"/>
  <c r="P27" i="69"/>
  <c r="O27" i="69"/>
  <c r="H27" i="69"/>
  <c r="U26" i="69"/>
  <c r="H26" i="69"/>
  <c r="V26" i="69" s="1"/>
  <c r="U25" i="69"/>
  <c r="H25" i="69"/>
  <c r="N44" i="69"/>
  <c r="M44" i="69"/>
  <c r="L44" i="69"/>
  <c r="K44" i="69"/>
  <c r="H24" i="69"/>
  <c r="S23" i="69"/>
  <c r="R23" i="69"/>
  <c r="Q23" i="69"/>
  <c r="P23" i="69"/>
  <c r="O23" i="69"/>
  <c r="H23" i="69"/>
  <c r="S22" i="69"/>
  <c r="S44" i="69" s="1"/>
  <c r="R22" i="69"/>
  <c r="Q22" i="69"/>
  <c r="P22" i="69"/>
  <c r="P44" i="69" s="1"/>
  <c r="O22" i="69"/>
  <c r="O44" i="69" s="1"/>
  <c r="H22" i="69"/>
  <c r="J17" i="69"/>
  <c r="I17" i="69"/>
  <c r="F17" i="69"/>
  <c r="D17" i="69"/>
  <c r="C17" i="69"/>
  <c r="U16" i="69"/>
  <c r="H16" i="69"/>
  <c r="V16" i="69" s="1"/>
  <c r="U15" i="69"/>
  <c r="H15" i="69"/>
  <c r="U14" i="69"/>
  <c r="H14" i="69"/>
  <c r="U13" i="69"/>
  <c r="H13" i="69"/>
  <c r="S17" i="69"/>
  <c r="Q17" i="69"/>
  <c r="O17" i="69"/>
  <c r="M17" i="69"/>
  <c r="U12" i="69"/>
  <c r="H12" i="69"/>
  <c r="U11" i="69"/>
  <c r="H11" i="69"/>
  <c r="U10" i="69"/>
  <c r="H10" i="69"/>
  <c r="T17" i="69"/>
  <c r="U9" i="69"/>
  <c r="H9" i="69"/>
  <c r="R17" i="69"/>
  <c r="P17" i="69"/>
  <c r="N17" i="69"/>
  <c r="H8" i="69"/>
  <c r="T42" i="68"/>
  <c r="S42" i="68"/>
  <c r="R42" i="68"/>
  <c r="Q42" i="68"/>
  <c r="P42" i="68"/>
  <c r="O42" i="68"/>
  <c r="N42" i="68"/>
  <c r="M42" i="68"/>
  <c r="L42" i="68"/>
  <c r="K42" i="68"/>
  <c r="T41" i="68"/>
  <c r="S41" i="68"/>
  <c r="R41" i="68"/>
  <c r="Q41" i="68"/>
  <c r="P41" i="68"/>
  <c r="O41" i="68"/>
  <c r="N41" i="68"/>
  <c r="M41" i="68"/>
  <c r="L41" i="68"/>
  <c r="K41" i="68"/>
  <c r="T40" i="68"/>
  <c r="S40" i="68"/>
  <c r="R40" i="68"/>
  <c r="Q40" i="68"/>
  <c r="P40" i="68"/>
  <c r="O40" i="68"/>
  <c r="N40" i="68"/>
  <c r="M40" i="68"/>
  <c r="L40" i="68"/>
  <c r="T39" i="68"/>
  <c r="S39" i="68"/>
  <c r="R39" i="68"/>
  <c r="Q39" i="68"/>
  <c r="P39" i="68"/>
  <c r="O39" i="68"/>
  <c r="N39" i="68"/>
  <c r="M39" i="68"/>
  <c r="L39" i="68"/>
  <c r="K40" i="68"/>
  <c r="K39" i="68"/>
  <c r="S38" i="68"/>
  <c r="R38" i="68"/>
  <c r="Q38" i="68"/>
  <c r="P38" i="68"/>
  <c r="O38" i="68"/>
  <c r="N38" i="68"/>
  <c r="M38" i="68"/>
  <c r="L38" i="68"/>
  <c r="K38" i="68"/>
  <c r="S37" i="68"/>
  <c r="R37" i="68"/>
  <c r="Q37" i="68"/>
  <c r="P37" i="68"/>
  <c r="O37" i="68"/>
  <c r="N37" i="68"/>
  <c r="M37" i="68"/>
  <c r="L37" i="68"/>
  <c r="K37" i="68"/>
  <c r="S35" i="68"/>
  <c r="R35" i="68"/>
  <c r="Q35" i="68"/>
  <c r="P35" i="68"/>
  <c r="O35" i="68"/>
  <c r="N35" i="68"/>
  <c r="M35" i="68"/>
  <c r="L35" i="68"/>
  <c r="K35" i="68"/>
  <c r="S33" i="68"/>
  <c r="R33" i="68"/>
  <c r="Q33" i="68"/>
  <c r="P33" i="68"/>
  <c r="O33" i="68"/>
  <c r="N33" i="68"/>
  <c r="M33" i="68"/>
  <c r="L33" i="68"/>
  <c r="K33" i="68"/>
  <c r="S32" i="68"/>
  <c r="R32" i="68"/>
  <c r="Q32" i="68"/>
  <c r="P32" i="68"/>
  <c r="O32" i="68"/>
  <c r="N32" i="68"/>
  <c r="M32" i="68"/>
  <c r="L32" i="68"/>
  <c r="K32" i="68"/>
  <c r="T31" i="68"/>
  <c r="S31" i="68"/>
  <c r="R31" i="68"/>
  <c r="Q31" i="68"/>
  <c r="P31" i="68"/>
  <c r="O31" i="68"/>
  <c r="N31" i="68"/>
  <c r="M31" i="68"/>
  <c r="L31" i="68"/>
  <c r="K31" i="68"/>
  <c r="U31" i="68" s="1"/>
  <c r="T30" i="68"/>
  <c r="S30" i="68"/>
  <c r="R30" i="68"/>
  <c r="Q30" i="68"/>
  <c r="P30" i="68"/>
  <c r="O30" i="68"/>
  <c r="N30" i="68"/>
  <c r="M30" i="68"/>
  <c r="L30" i="68"/>
  <c r="K30" i="68"/>
  <c r="S29" i="68"/>
  <c r="R29" i="68"/>
  <c r="Q29" i="68"/>
  <c r="P29" i="68"/>
  <c r="O29" i="68"/>
  <c r="N29" i="68"/>
  <c r="M29" i="68"/>
  <c r="U29" i="68" s="1"/>
  <c r="L29" i="68"/>
  <c r="K29" i="68"/>
  <c r="S28" i="68"/>
  <c r="R28" i="68"/>
  <c r="Q28" i="68"/>
  <c r="P28" i="68"/>
  <c r="O28" i="68"/>
  <c r="N28" i="68"/>
  <c r="U28" i="68" s="1"/>
  <c r="M28" i="68"/>
  <c r="L28" i="68"/>
  <c r="K28" i="68"/>
  <c r="S26" i="68"/>
  <c r="R26" i="68"/>
  <c r="Q26" i="68"/>
  <c r="P26" i="68"/>
  <c r="O26" i="68"/>
  <c r="N26" i="68"/>
  <c r="M26" i="68"/>
  <c r="L26" i="68"/>
  <c r="K26" i="68"/>
  <c r="S25" i="68"/>
  <c r="R25" i="68"/>
  <c r="Q25" i="68"/>
  <c r="P25" i="68"/>
  <c r="O25" i="68"/>
  <c r="N25" i="68"/>
  <c r="M25" i="68"/>
  <c r="L25" i="68"/>
  <c r="K25" i="68"/>
  <c r="S24" i="68"/>
  <c r="R24" i="68"/>
  <c r="Q24" i="68"/>
  <c r="P24" i="68"/>
  <c r="O24" i="68"/>
  <c r="N24" i="68"/>
  <c r="M24" i="68"/>
  <c r="L24" i="68"/>
  <c r="K24" i="68"/>
  <c r="T12" i="68"/>
  <c r="S12" i="68"/>
  <c r="R12" i="68"/>
  <c r="Q12" i="68"/>
  <c r="P12" i="68"/>
  <c r="O12" i="68"/>
  <c r="N12" i="68"/>
  <c r="M12" i="68"/>
  <c r="L12" i="68"/>
  <c r="K12" i="68"/>
  <c r="T9" i="68"/>
  <c r="S9" i="68"/>
  <c r="R9" i="68"/>
  <c r="Q9" i="68"/>
  <c r="P9" i="68"/>
  <c r="O9" i="68"/>
  <c r="N9" i="68"/>
  <c r="M9" i="68"/>
  <c r="L9" i="68"/>
  <c r="K9" i="68"/>
  <c r="S8" i="68"/>
  <c r="R8" i="68"/>
  <c r="Q8" i="68"/>
  <c r="P8" i="68"/>
  <c r="O8" i="68"/>
  <c r="N8" i="68"/>
  <c r="M8" i="68"/>
  <c r="L8" i="68"/>
  <c r="K8" i="68"/>
  <c r="H40" i="68"/>
  <c r="H31" i="68"/>
  <c r="H29" i="68"/>
  <c r="H28" i="68"/>
  <c r="U40" i="68" l="1"/>
  <c r="V40" i="68" s="1"/>
  <c r="H17" i="69"/>
  <c r="U34" i="69"/>
  <c r="U36" i="69"/>
  <c r="Q44" i="69"/>
  <c r="U27" i="69"/>
  <c r="V27" i="69" s="1"/>
  <c r="V31" i="68"/>
  <c r="H44" i="69"/>
  <c r="R44" i="69"/>
  <c r="U23" i="69"/>
  <c r="V23" i="69" s="1"/>
  <c r="V34" i="69"/>
  <c r="V36" i="69"/>
  <c r="V33" i="69"/>
  <c r="V31" i="69"/>
  <c r="V25" i="69"/>
  <c r="V28" i="69"/>
  <c r="V32" i="69"/>
  <c r="V35" i="69"/>
  <c r="V38" i="69"/>
  <c r="V40" i="69"/>
  <c r="V42" i="69"/>
  <c r="V9" i="69"/>
  <c r="V10" i="69"/>
  <c r="V11" i="69"/>
  <c r="V13" i="69"/>
  <c r="V14" i="69"/>
  <c r="V15" i="69"/>
  <c r="V12" i="69"/>
  <c r="V30" i="69"/>
  <c r="V39" i="69"/>
  <c r="V41" i="69"/>
  <c r="K17" i="69"/>
  <c r="U22" i="69"/>
  <c r="V22" i="69" s="1"/>
  <c r="U8" i="69"/>
  <c r="U17" i="69" s="1"/>
  <c r="U24" i="69"/>
  <c r="V24" i="69" s="1"/>
  <c r="V28" i="68"/>
  <c r="V29" i="68"/>
  <c r="V8" i="69" l="1"/>
  <c r="V17" i="69"/>
  <c r="V44" i="69"/>
  <c r="U44" i="69"/>
  <c r="K17" i="68" l="1"/>
  <c r="I44" i="68"/>
  <c r="G44" i="68"/>
  <c r="F44" i="68"/>
  <c r="E44" i="68"/>
  <c r="D44" i="68"/>
  <c r="C44" i="68"/>
  <c r="H42" i="68"/>
  <c r="U41" i="68"/>
  <c r="H41" i="68"/>
  <c r="H39" i="68"/>
  <c r="U38" i="68"/>
  <c r="H38" i="68"/>
  <c r="U37" i="68"/>
  <c r="H37" i="68"/>
  <c r="S36" i="68"/>
  <c r="R36" i="68"/>
  <c r="Q36" i="68"/>
  <c r="P36" i="68"/>
  <c r="O36" i="68"/>
  <c r="H36" i="68"/>
  <c r="U35" i="68"/>
  <c r="H35" i="68"/>
  <c r="S34" i="68"/>
  <c r="R34" i="68"/>
  <c r="Q34" i="68"/>
  <c r="P34" i="68"/>
  <c r="O34" i="68"/>
  <c r="U34" i="68" s="1"/>
  <c r="H34" i="68"/>
  <c r="U33" i="68"/>
  <c r="H33" i="68"/>
  <c r="U32" i="68"/>
  <c r="H32" i="68"/>
  <c r="T44" i="68"/>
  <c r="U30" i="68"/>
  <c r="H30" i="68"/>
  <c r="S27" i="68"/>
  <c r="R27" i="68"/>
  <c r="Q27" i="68"/>
  <c r="P27" i="68"/>
  <c r="O27" i="68"/>
  <c r="H27" i="68"/>
  <c r="U26" i="68"/>
  <c r="H26" i="68"/>
  <c r="U25" i="68"/>
  <c r="H25" i="68"/>
  <c r="M44" i="68"/>
  <c r="K44" i="68"/>
  <c r="J44" i="68"/>
  <c r="H24" i="68"/>
  <c r="S23" i="68"/>
  <c r="R23" i="68"/>
  <c r="Q23" i="68"/>
  <c r="Q44" i="68" s="1"/>
  <c r="P23" i="68"/>
  <c r="O23" i="68"/>
  <c r="H23" i="68"/>
  <c r="S22" i="68"/>
  <c r="S44" i="68" s="1"/>
  <c r="R22" i="68"/>
  <c r="Q22" i="68"/>
  <c r="P22" i="68"/>
  <c r="O22" i="68"/>
  <c r="O44" i="68" s="1"/>
  <c r="H22" i="68"/>
  <c r="I17" i="68"/>
  <c r="F17" i="68"/>
  <c r="D17" i="68"/>
  <c r="C17" i="68"/>
  <c r="U16" i="68"/>
  <c r="H16" i="68"/>
  <c r="U15" i="68"/>
  <c r="H15" i="68"/>
  <c r="U14" i="68"/>
  <c r="H14" i="68"/>
  <c r="U13" i="68"/>
  <c r="H13" i="68"/>
  <c r="U12" i="68"/>
  <c r="H12" i="68"/>
  <c r="U11" i="68"/>
  <c r="H11" i="68"/>
  <c r="U10" i="68"/>
  <c r="H10" i="68"/>
  <c r="H9" i="68"/>
  <c r="J17" i="68"/>
  <c r="H8" i="68"/>
  <c r="T38" i="67"/>
  <c r="S38" i="67"/>
  <c r="R38" i="67"/>
  <c r="Q38" i="67"/>
  <c r="P38" i="67"/>
  <c r="O38" i="67"/>
  <c r="N38" i="67"/>
  <c r="M38" i="67"/>
  <c r="L38" i="67"/>
  <c r="K38" i="67"/>
  <c r="J38" i="67"/>
  <c r="T37" i="67"/>
  <c r="S37" i="67"/>
  <c r="R37" i="67"/>
  <c r="Q37" i="67"/>
  <c r="P37" i="67"/>
  <c r="O37" i="67"/>
  <c r="N37" i="67"/>
  <c r="M37" i="67"/>
  <c r="L37" i="67"/>
  <c r="K37" i="67"/>
  <c r="J37" i="67"/>
  <c r="T36" i="67"/>
  <c r="S36" i="67"/>
  <c r="R36" i="67"/>
  <c r="Q36" i="67"/>
  <c r="P36" i="67"/>
  <c r="O36" i="67"/>
  <c r="N36" i="67"/>
  <c r="M36" i="67"/>
  <c r="L36" i="67"/>
  <c r="K36" i="67"/>
  <c r="J36" i="67"/>
  <c r="U36" i="67" s="1"/>
  <c r="T28" i="67"/>
  <c r="S28" i="67"/>
  <c r="R28" i="67"/>
  <c r="Q28" i="67"/>
  <c r="P28" i="67"/>
  <c r="O28" i="67"/>
  <c r="N28" i="67"/>
  <c r="M28" i="67"/>
  <c r="L28" i="67"/>
  <c r="K28" i="67"/>
  <c r="J28" i="67"/>
  <c r="T12" i="67"/>
  <c r="T17" i="67" s="1"/>
  <c r="S12" i="67"/>
  <c r="R12" i="67"/>
  <c r="Q12" i="67"/>
  <c r="P12" i="67"/>
  <c r="O12" i="67"/>
  <c r="N12" i="67"/>
  <c r="M12" i="67"/>
  <c r="L12" i="67"/>
  <c r="K12" i="67"/>
  <c r="J12" i="67"/>
  <c r="T9" i="67"/>
  <c r="S9" i="67"/>
  <c r="R9" i="67"/>
  <c r="R17" i="67" s="1"/>
  <c r="Q9" i="67"/>
  <c r="P9" i="67"/>
  <c r="O9" i="67"/>
  <c r="N9" i="67"/>
  <c r="M9" i="67"/>
  <c r="L9" i="67"/>
  <c r="K9" i="67"/>
  <c r="J9" i="67"/>
  <c r="J17" i="67" s="1"/>
  <c r="G40" i="67"/>
  <c r="F40" i="67"/>
  <c r="E40" i="67"/>
  <c r="D40" i="67"/>
  <c r="C40" i="67"/>
  <c r="I40" i="67"/>
  <c r="H38" i="67"/>
  <c r="U37" i="67"/>
  <c r="H37" i="67"/>
  <c r="H36" i="67"/>
  <c r="S35" i="67"/>
  <c r="R35" i="67"/>
  <c r="Q35" i="67"/>
  <c r="P35" i="67"/>
  <c r="O35" i="67"/>
  <c r="N35" i="67"/>
  <c r="M35" i="67"/>
  <c r="L35" i="67"/>
  <c r="K35" i="67"/>
  <c r="J35" i="67"/>
  <c r="H35" i="67"/>
  <c r="S34" i="67"/>
  <c r="R34" i="67"/>
  <c r="Q34" i="67"/>
  <c r="P34" i="67"/>
  <c r="O34" i="67"/>
  <c r="N34" i="67"/>
  <c r="M34" i="67"/>
  <c r="L34" i="67"/>
  <c r="K34" i="67"/>
  <c r="J34" i="67"/>
  <c r="U34" i="67" s="1"/>
  <c r="H34" i="67"/>
  <c r="S33" i="67"/>
  <c r="R33" i="67"/>
  <c r="Q33" i="67"/>
  <c r="P33" i="67"/>
  <c r="O33" i="67"/>
  <c r="H33" i="67"/>
  <c r="S32" i="67"/>
  <c r="R32" i="67"/>
  <c r="Q32" i="67"/>
  <c r="P32" i="67"/>
  <c r="O32" i="67"/>
  <c r="N32" i="67"/>
  <c r="M32" i="67"/>
  <c r="L32" i="67"/>
  <c r="K32" i="67"/>
  <c r="J32" i="67"/>
  <c r="H32" i="67"/>
  <c r="S31" i="67"/>
  <c r="R31" i="67"/>
  <c r="Q31" i="67"/>
  <c r="P31" i="67"/>
  <c r="O31" i="67"/>
  <c r="H31" i="67"/>
  <c r="S30" i="67"/>
  <c r="R30" i="67"/>
  <c r="Q30" i="67"/>
  <c r="P30" i="67"/>
  <c r="O30" i="67"/>
  <c r="N30" i="67"/>
  <c r="M30" i="67"/>
  <c r="L30" i="67"/>
  <c r="K30" i="67"/>
  <c r="J30" i="67"/>
  <c r="H30" i="67"/>
  <c r="S29" i="67"/>
  <c r="R29" i="67"/>
  <c r="Q29" i="67"/>
  <c r="P29" i="67"/>
  <c r="O29" i="67"/>
  <c r="N29" i="67"/>
  <c r="M29" i="67"/>
  <c r="L29" i="67"/>
  <c r="K29" i="67"/>
  <c r="J29" i="67"/>
  <c r="H29" i="67"/>
  <c r="H28" i="67"/>
  <c r="S27" i="67"/>
  <c r="R27" i="67"/>
  <c r="Q27" i="67"/>
  <c r="P27" i="67"/>
  <c r="O27" i="67"/>
  <c r="H27" i="67"/>
  <c r="S26" i="67"/>
  <c r="R26" i="67"/>
  <c r="Q26" i="67"/>
  <c r="P26" i="67"/>
  <c r="O26" i="67"/>
  <c r="N26" i="67"/>
  <c r="M26" i="67"/>
  <c r="L26" i="67"/>
  <c r="K26" i="67"/>
  <c r="J26" i="67"/>
  <c r="H26" i="67"/>
  <c r="S25" i="67"/>
  <c r="R25" i="67"/>
  <c r="Q25" i="67"/>
  <c r="P25" i="67"/>
  <c r="O25" i="67"/>
  <c r="N25" i="67"/>
  <c r="M25" i="67"/>
  <c r="L25" i="67"/>
  <c r="K25" i="67"/>
  <c r="J25" i="67"/>
  <c r="H25" i="67"/>
  <c r="S24" i="67"/>
  <c r="R24" i="67"/>
  <c r="Q24" i="67"/>
  <c r="P24" i="67"/>
  <c r="O24" i="67"/>
  <c r="N24" i="67"/>
  <c r="M24" i="67"/>
  <c r="L24" i="67"/>
  <c r="K24" i="67"/>
  <c r="J24" i="67"/>
  <c r="H24" i="67"/>
  <c r="S23" i="67"/>
  <c r="R23" i="67"/>
  <c r="Q23" i="67"/>
  <c r="P23" i="67"/>
  <c r="O23" i="67"/>
  <c r="H23" i="67"/>
  <c r="S22" i="67"/>
  <c r="R22" i="67"/>
  <c r="Q22" i="67"/>
  <c r="P22" i="67"/>
  <c r="O22" i="67"/>
  <c r="H22" i="67"/>
  <c r="F17" i="67"/>
  <c r="D17" i="67"/>
  <c r="C17" i="67"/>
  <c r="U16" i="67"/>
  <c r="H16" i="67"/>
  <c r="V16" i="67" s="1"/>
  <c r="U15" i="67"/>
  <c r="H15" i="67"/>
  <c r="U14" i="67"/>
  <c r="H14" i="67"/>
  <c r="U13" i="67"/>
  <c r="H13" i="67"/>
  <c r="P17" i="67"/>
  <c r="U12" i="67"/>
  <c r="H12" i="67"/>
  <c r="U11" i="67"/>
  <c r="H11" i="67"/>
  <c r="U10" i="67"/>
  <c r="H10" i="67"/>
  <c r="I17" i="67"/>
  <c r="H9" i="67"/>
  <c r="S8" i="67"/>
  <c r="S17" i="67" s="1"/>
  <c r="R8" i="67"/>
  <c r="Q8" i="67"/>
  <c r="Q17" i="67" s="1"/>
  <c r="P8" i="67"/>
  <c r="O8" i="67"/>
  <c r="O17" i="67" s="1"/>
  <c r="N8" i="67"/>
  <c r="N17" i="67" s="1"/>
  <c r="M8" i="67"/>
  <c r="M17" i="67" s="1"/>
  <c r="L8" i="67"/>
  <c r="L17" i="67" s="1"/>
  <c r="K8" i="67"/>
  <c r="K17" i="67" s="1"/>
  <c r="J8" i="67"/>
  <c r="H8" i="67"/>
  <c r="T38" i="1"/>
  <c r="S38" i="1"/>
  <c r="R38" i="1"/>
  <c r="Q38" i="1"/>
  <c r="P38" i="1"/>
  <c r="O38" i="1"/>
  <c r="N38" i="1"/>
  <c r="M38" i="1"/>
  <c r="L38" i="1"/>
  <c r="K38" i="1"/>
  <c r="J38" i="1"/>
  <c r="I38" i="1"/>
  <c r="T37" i="1"/>
  <c r="S37" i="1"/>
  <c r="R37" i="1"/>
  <c r="Q37" i="1"/>
  <c r="P37" i="1"/>
  <c r="O37" i="1"/>
  <c r="N37" i="1"/>
  <c r="M37" i="1"/>
  <c r="L37" i="1"/>
  <c r="K37" i="1"/>
  <c r="U37" i="1" s="1"/>
  <c r="J37" i="1"/>
  <c r="I37" i="1"/>
  <c r="T36" i="1"/>
  <c r="S36" i="1"/>
  <c r="R36" i="1"/>
  <c r="Q36" i="1"/>
  <c r="P36" i="1"/>
  <c r="O36" i="1"/>
  <c r="N36" i="1"/>
  <c r="M36" i="1"/>
  <c r="L36" i="1"/>
  <c r="K36" i="1"/>
  <c r="U36" i="1" s="1"/>
  <c r="J36" i="1"/>
  <c r="S35" i="1"/>
  <c r="R35" i="1"/>
  <c r="Q35" i="1"/>
  <c r="P35" i="1"/>
  <c r="O35" i="1"/>
  <c r="N35" i="1"/>
  <c r="M35" i="1"/>
  <c r="L35" i="1"/>
  <c r="K35" i="1"/>
  <c r="J35" i="1"/>
  <c r="S34" i="1"/>
  <c r="R34" i="1"/>
  <c r="Q34" i="1"/>
  <c r="P34" i="1"/>
  <c r="O34" i="1"/>
  <c r="N34" i="1"/>
  <c r="M34" i="1"/>
  <c r="L34" i="1"/>
  <c r="K34" i="1"/>
  <c r="J34" i="1"/>
  <c r="S33" i="1"/>
  <c r="R33" i="1"/>
  <c r="Q33" i="1"/>
  <c r="P33" i="1"/>
  <c r="O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T28" i="1"/>
  <c r="S28" i="1"/>
  <c r="R28" i="1"/>
  <c r="Q28" i="1"/>
  <c r="P28" i="1"/>
  <c r="O28" i="1"/>
  <c r="N28" i="1"/>
  <c r="M28" i="1"/>
  <c r="L28" i="1"/>
  <c r="K28" i="1"/>
  <c r="J28" i="1"/>
  <c r="I28" i="1"/>
  <c r="S27" i="1"/>
  <c r="R27" i="1"/>
  <c r="Q27" i="1"/>
  <c r="P27" i="1"/>
  <c r="O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S22" i="1"/>
  <c r="R22" i="1"/>
  <c r="Q22" i="1"/>
  <c r="P22" i="1"/>
  <c r="O22" i="1"/>
  <c r="T12" i="1"/>
  <c r="S12" i="1"/>
  <c r="R12" i="1"/>
  <c r="Q12" i="1"/>
  <c r="P12" i="1"/>
  <c r="O12" i="1"/>
  <c r="N12" i="1"/>
  <c r="M12" i="1"/>
  <c r="L12" i="1"/>
  <c r="K12" i="1"/>
  <c r="J12" i="1"/>
  <c r="I12" i="1"/>
  <c r="T9" i="1"/>
  <c r="S9" i="1"/>
  <c r="R9" i="1"/>
  <c r="Q9" i="1"/>
  <c r="P9" i="1"/>
  <c r="O9" i="1"/>
  <c r="N9" i="1"/>
  <c r="M9" i="1"/>
  <c r="L9" i="1"/>
  <c r="K9" i="1"/>
  <c r="J9" i="1"/>
  <c r="I9" i="1"/>
  <c r="S8" i="1"/>
  <c r="R8" i="1"/>
  <c r="Q8" i="1"/>
  <c r="P8" i="1"/>
  <c r="O8" i="1"/>
  <c r="N8" i="1"/>
  <c r="M8" i="1"/>
  <c r="L8" i="1"/>
  <c r="K8" i="1"/>
  <c r="J8" i="1"/>
  <c r="H38" i="1"/>
  <c r="H37" i="1"/>
  <c r="H36" i="1"/>
  <c r="U35" i="1"/>
  <c r="H35" i="1"/>
  <c r="Q40" i="67" l="1"/>
  <c r="U26" i="67"/>
  <c r="U27" i="67"/>
  <c r="V27" i="67" s="1"/>
  <c r="U31" i="67"/>
  <c r="V31" i="67" s="1"/>
  <c r="P44" i="68"/>
  <c r="V30" i="68"/>
  <c r="U36" i="68"/>
  <c r="V36" i="68" s="1"/>
  <c r="H40" i="67"/>
  <c r="U25" i="67"/>
  <c r="V29" i="67"/>
  <c r="U30" i="67"/>
  <c r="T40" i="67"/>
  <c r="V26" i="67"/>
  <c r="U23" i="67"/>
  <c r="V23" i="67" s="1"/>
  <c r="L40" i="67"/>
  <c r="M40" i="67"/>
  <c r="U38" i="1"/>
  <c r="H17" i="67"/>
  <c r="U8" i="67"/>
  <c r="U22" i="67"/>
  <c r="V22" i="67" s="1"/>
  <c r="S40" i="67"/>
  <c r="J40" i="67"/>
  <c r="N40" i="67"/>
  <c r="K40" i="67"/>
  <c r="U29" i="67"/>
  <c r="U32" i="67"/>
  <c r="V32" i="67" s="1"/>
  <c r="U33" i="67"/>
  <c r="V33" i="67" s="1"/>
  <c r="U35" i="67"/>
  <c r="V35" i="67" s="1"/>
  <c r="U28" i="67"/>
  <c r="R44" i="68"/>
  <c r="U23" i="68"/>
  <c r="V23" i="68" s="1"/>
  <c r="U27" i="68"/>
  <c r="V27" i="68" s="1"/>
  <c r="T17" i="68"/>
  <c r="V16" i="68"/>
  <c r="H44" i="68"/>
  <c r="V34" i="68"/>
  <c r="V26" i="68"/>
  <c r="V33" i="68"/>
  <c r="V37" i="68"/>
  <c r="U39" i="68"/>
  <c r="V39" i="68" s="1"/>
  <c r="L44" i="68"/>
  <c r="N44" i="68"/>
  <c r="U42" i="68"/>
  <c r="V42" i="68" s="1"/>
  <c r="L17" i="68"/>
  <c r="N17" i="68"/>
  <c r="P17" i="68"/>
  <c r="R17" i="68"/>
  <c r="M17" i="68"/>
  <c r="O17" i="68"/>
  <c r="Q17" i="68"/>
  <c r="S17" i="68"/>
  <c r="V12" i="68"/>
  <c r="H17" i="68"/>
  <c r="V41" i="68"/>
  <c r="V10" i="68"/>
  <c r="V11" i="68"/>
  <c r="V13" i="68"/>
  <c r="V14" i="68"/>
  <c r="V15" i="68"/>
  <c r="V25" i="68"/>
  <c r="V32" i="68"/>
  <c r="V35" i="68"/>
  <c r="V38" i="68"/>
  <c r="U8" i="68"/>
  <c r="V8" i="68" s="1"/>
  <c r="U9" i="68"/>
  <c r="V9" i="68" s="1"/>
  <c r="U22" i="68"/>
  <c r="V22" i="68"/>
  <c r="U24" i="68"/>
  <c r="V24" i="68" s="1"/>
  <c r="P40" i="67"/>
  <c r="R40" i="67"/>
  <c r="V36" i="67"/>
  <c r="V15" i="67"/>
  <c r="V14" i="67"/>
  <c r="V13" i="67"/>
  <c r="V10" i="67"/>
  <c r="V11" i="67"/>
  <c r="V12" i="67"/>
  <c r="V25" i="67"/>
  <c r="V28" i="67"/>
  <c r="V30" i="67"/>
  <c r="V34" i="67"/>
  <c r="V37" i="67"/>
  <c r="V8" i="67"/>
  <c r="U9" i="67"/>
  <c r="U17" i="67" s="1"/>
  <c r="U24" i="67"/>
  <c r="V24" i="67" s="1"/>
  <c r="U38" i="67"/>
  <c r="V38" i="67" s="1"/>
  <c r="O40" i="67"/>
  <c r="V38" i="1"/>
  <c r="V37" i="1"/>
  <c r="V36" i="1"/>
  <c r="V35" i="1"/>
  <c r="U15" i="1"/>
  <c r="U14" i="1"/>
  <c r="U13" i="1"/>
  <c r="H15" i="1"/>
  <c r="H14" i="1"/>
  <c r="H13" i="1"/>
  <c r="V17" i="68" l="1"/>
  <c r="V44" i="68"/>
  <c r="U44" i="68"/>
  <c r="U17" i="68"/>
  <c r="V9" i="67"/>
  <c r="V17" i="67" s="1"/>
  <c r="V40" i="67"/>
  <c r="U40" i="67"/>
  <c r="V13" i="1"/>
  <c r="V15" i="1"/>
  <c r="V14" i="1"/>
  <c r="U16" i="1" l="1"/>
  <c r="H16" i="1"/>
  <c r="V16" i="1" l="1"/>
  <c r="F17" i="1" l="1"/>
  <c r="D17" i="1"/>
  <c r="U32" i="1"/>
  <c r="U34" i="1"/>
  <c r="U30" i="1"/>
  <c r="U28" i="1"/>
  <c r="U26" i="1"/>
  <c r="H34" i="1"/>
  <c r="H33" i="1"/>
  <c r="H32" i="1"/>
  <c r="H31" i="1"/>
  <c r="H30" i="1"/>
  <c r="H29" i="1"/>
  <c r="H28" i="1"/>
  <c r="H27" i="1"/>
  <c r="H26" i="1"/>
  <c r="H25" i="1"/>
  <c r="H24" i="1"/>
  <c r="H23" i="1"/>
  <c r="V32" i="1" l="1"/>
  <c r="V26" i="1"/>
  <c r="U23" i="1"/>
  <c r="V23" i="1" s="1"/>
  <c r="U27" i="1"/>
  <c r="V27" i="1" s="1"/>
  <c r="V30" i="1"/>
  <c r="V34" i="1"/>
  <c r="U24" i="1"/>
  <c r="V24" i="1" s="1"/>
  <c r="U25" i="1"/>
  <c r="V25" i="1" s="1"/>
  <c r="U29" i="1"/>
  <c r="V29" i="1" s="1"/>
  <c r="U31" i="1"/>
  <c r="V31" i="1" s="1"/>
  <c r="U33" i="1"/>
  <c r="V33" i="1" s="1"/>
  <c r="V28" i="1"/>
  <c r="U22" i="1" l="1"/>
  <c r="H22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E40" i="1"/>
  <c r="D40" i="1"/>
  <c r="C40" i="1"/>
  <c r="U12" i="1"/>
  <c r="U11" i="1"/>
  <c r="U10" i="1"/>
  <c r="U9" i="1"/>
  <c r="U8" i="1"/>
  <c r="H12" i="1"/>
  <c r="H11" i="1"/>
  <c r="H10" i="1"/>
  <c r="H9" i="1"/>
  <c r="H8" i="1"/>
  <c r="T17" i="1"/>
  <c r="S17" i="1"/>
  <c r="R17" i="1"/>
  <c r="Q17" i="1"/>
  <c r="P17" i="1"/>
  <c r="O17" i="1"/>
  <c r="N17" i="1"/>
  <c r="M17" i="1"/>
  <c r="L17" i="1"/>
  <c r="K17" i="1"/>
  <c r="J17" i="1"/>
  <c r="I17" i="1"/>
  <c r="C17" i="1"/>
  <c r="H40" i="1" l="1"/>
  <c r="U40" i="1"/>
  <c r="V22" i="1"/>
  <c r="V10" i="1"/>
  <c r="V9" i="1"/>
  <c r="H17" i="1"/>
  <c r="V11" i="1"/>
  <c r="V8" i="1"/>
  <c r="V12" i="1"/>
  <c r="U17" i="1"/>
  <c r="V40" i="1" l="1"/>
  <c r="V17" i="1"/>
  <c r="U10" i="70"/>
  <c r="V10" i="70" s="1"/>
  <c r="V17" i="70" s="1"/>
  <c r="M17" i="70"/>
  <c r="U17" i="70" l="1"/>
</calcChain>
</file>

<file path=xl/sharedStrings.xml><?xml version="1.0" encoding="utf-8"?>
<sst xmlns="http://schemas.openxmlformats.org/spreadsheetml/2006/main" count="1443" uniqueCount="97">
  <si>
    <t>PLAN ANUAL MENSUALIZADO DE CAJA PAC</t>
  </si>
  <si>
    <t>INGRESOS</t>
  </si>
  <si>
    <t>CODIGO PRESUPUESTAL</t>
  </si>
  <si>
    <t>NOMBRE</t>
  </si>
  <si>
    <t>PRESUPUESTO INICIAL</t>
  </si>
  <si>
    <t>MODIFICACIONES</t>
  </si>
  <si>
    <t>ADICIONES</t>
  </si>
  <si>
    <t>REDUCCIONES</t>
  </si>
  <si>
    <t>PRESUPUESTO DEFINITIVO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</si>
  <si>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</si>
  <si>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</si>
  <si>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</si>
  <si>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</si>
  <si>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</si>
  <si>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</si>
  <si>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</si>
  <si>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</si>
  <si>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</si>
  <si>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</si>
  <si>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</si>
  <si>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</si>
  <si>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</si>
  <si>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SALDO POR EJECUTAR</t>
  </si>
  <si>
    <t>EGRESOS</t>
  </si>
  <si>
    <t>CREDITOS</t>
  </si>
  <si>
    <t>CONTRACREDITOS</t>
  </si>
  <si>
    <t>TOTALES</t>
  </si>
  <si>
    <t>INSTITUCION EDUCATIVA FE Y ALEGRIA</t>
  </si>
  <si>
    <t xml:space="preserve">1102050207            </t>
  </si>
  <si>
    <t xml:space="preserve">Servicios financieros y servicios conexos; servicios inmobiliarios; y servicios de arrendamiento y leasing                                                                                                                                      </t>
  </si>
  <si>
    <t xml:space="preserve">1102050209            </t>
  </si>
  <si>
    <t xml:space="preserve">Servicios para la comunidad, sociales y personales                                                                                                                                                                                              </t>
  </si>
  <si>
    <t xml:space="preserve">11020601010302        </t>
  </si>
  <si>
    <t xml:space="preserve">Calidad  por gratuidad                                                                                                                                                                                                                          </t>
  </si>
  <si>
    <t xml:space="preserve">12050202              </t>
  </si>
  <si>
    <t xml:space="preserve">Depositos ctas cnp                                                                                                                                                                                                                              </t>
  </si>
  <si>
    <t xml:space="preserve">12100201              </t>
  </si>
  <si>
    <t xml:space="preserve">Superavit propios                                                                                                                                                                                                                               </t>
  </si>
  <si>
    <t xml:space="preserve">12100202              </t>
  </si>
  <si>
    <t xml:space="preserve">Superavit conpes                                                                                                                                                                                                                                </t>
  </si>
  <si>
    <t xml:space="preserve">12100203              </t>
  </si>
  <si>
    <t xml:space="preserve">Superavit municipio                                                                                                                                                                                                                             </t>
  </si>
  <si>
    <t xml:space="preserve">2102010103050303      </t>
  </si>
  <si>
    <t xml:space="preserve">Televisores grabadoras y otros mpio                                                                                                                                                                                                             </t>
  </si>
  <si>
    <t xml:space="preserve">210202010302          </t>
  </si>
  <si>
    <t xml:space="preserve">Materiales y suministros cnp                                                                                                                                                                                                                    </t>
  </si>
  <si>
    <t xml:space="preserve">21020201030403        </t>
  </si>
  <si>
    <t xml:space="preserve">Materiales y suministros superavit mpio                                                                                                                                                                                                         </t>
  </si>
  <si>
    <t xml:space="preserve">210202020502          </t>
  </si>
  <si>
    <t xml:space="preserve">Construccion cnp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</si>
  <si>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210202020503          </t>
  </si>
  <si>
    <t xml:space="preserve">Construccion mpio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</si>
  <si>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21020202070101        </t>
  </si>
  <si>
    <t xml:space="preserve">Gastos financieros  prp                                                                                                                                                                                                                         </t>
  </si>
  <si>
    <t xml:space="preserve">21020202070202        </t>
  </si>
  <si>
    <t xml:space="preserve">Seguros cnp     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</si>
  <si>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21020202080102        </t>
  </si>
  <si>
    <t xml:space="preserve">Honorarios cnp  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</si>
  <si>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21020202080203        </t>
  </si>
  <si>
    <t xml:space="preserve">Servicios tecnicos mpio                                                                                                                                                                                                                         </t>
  </si>
  <si>
    <t xml:space="preserve">21020202080401        </t>
  </si>
  <si>
    <t xml:space="preserve">Impresos y publicaciones prp                                                                                                                                                                                                                    </t>
  </si>
  <si>
    <t xml:space="preserve">21020202080502        </t>
  </si>
  <si>
    <t xml:space="preserve">Telefono e internet cnp                                                                                                                                                                                                                         </t>
  </si>
  <si>
    <t xml:space="preserve">2102020208050402      </t>
  </si>
  <si>
    <t xml:space="preserve">Telefono e internet superavit cnp                                                                                                                                                                                                               </t>
  </si>
  <si>
    <t xml:space="preserve">210202030401          </t>
  </si>
  <si>
    <t xml:space="preserve">Varios superavit pr                                                                                                                                                                                                                             </t>
  </si>
  <si>
    <t xml:space="preserve">2102020207010401      </t>
  </si>
  <si>
    <t xml:space="preserve">Gastos financieros superavit prp                                                                                                                                                                                                                </t>
  </si>
  <si>
    <t xml:space="preserve">21020202050402        </t>
  </si>
  <si>
    <t xml:space="preserve">Construccion superavit cnp                                                                                                                                                                                                                      </t>
  </si>
  <si>
    <t xml:space="preserve">21020202050403        </t>
  </si>
  <si>
    <t xml:space="preserve">Construccion superavit mpio                                                                                                                                                                                                                     </t>
  </si>
  <si>
    <t xml:space="preserve">110206060602          </t>
  </si>
  <si>
    <t xml:space="preserve">Calidad territorial                                                                                                                                                                                                                             </t>
  </si>
  <si>
    <t>VIGENCIA 2024</t>
  </si>
  <si>
    <t xml:space="preserve">2102010103030203      </t>
  </si>
  <si>
    <t xml:space="preserve">Computadores y otros mpio                                                                                                                                                                                                                       </t>
  </si>
  <si>
    <t xml:space="preserve">21020202080301        </t>
  </si>
  <si>
    <t xml:space="preserve">Mantenimiento de ppye prp                                                                                                                                                                                                                       </t>
  </si>
  <si>
    <t xml:space="preserve">21020202080303        </t>
  </si>
  <si>
    <t xml:space="preserve">Mantenimiento de ppye mpio                                                                                                                                                                                                                      </t>
  </si>
  <si>
    <t xml:space="preserve">21020202080305        </t>
  </si>
  <si>
    <t xml:space="preserve">Mantenimiento de ppye rnd                                                                                                                                                                                                                       </t>
  </si>
  <si>
    <t xml:space="preserve">2102020208050401      </t>
  </si>
  <si>
    <t xml:space="preserve">Telefono e internet superavit prp                                                                                                                                                                                                               </t>
  </si>
  <si>
    <t xml:space="preserve">Mantenimiento de ppye cnp                                                                                                                                                                                                                     </t>
  </si>
  <si>
    <t xml:space="preserve">21020202080302        </t>
  </si>
  <si>
    <t xml:space="preserve">2102010103030202      </t>
  </si>
  <si>
    <t xml:space="preserve">Computadores y otros cnp                                                                                                                                                                                                                        </t>
  </si>
  <si>
    <t xml:space="preserve">2102010103050302      </t>
  </si>
  <si>
    <t xml:space="preserve">Televisores grabadoras y otros cnp                                                                                                                                                                                                              </t>
  </si>
  <si>
    <t xml:space="preserve">210202010303          </t>
  </si>
  <si>
    <t xml:space="preserve">Materiales y suministros mpio                                                                                                                                                                                                                   </t>
  </si>
  <si>
    <t xml:space="preserve">21020202080403        </t>
  </si>
  <si>
    <t xml:space="preserve">Impresos y publicaciones mpio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</si>
</sst>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5" fontId="2" fillId="0" borderId="23" xfId="1" applyNumberFormat="1" applyFont="1" applyBorder="1" applyAlignment="1">
      <alignment vertical="top" wrapText="1"/>
    </xf>
    <xf numFmtId="165" fontId="2" fillId="0" borderId="13" xfId="1" applyNumberFormat="1" applyFont="1" applyBorder="1" applyAlignment="1">
      <alignment vertical="top" wrapText="1"/>
    </xf>
    <xf numFmtId="165" fontId="2" fillId="0" borderId="12" xfId="1" applyNumberFormat="1" applyFont="1" applyBorder="1" applyAlignment="1">
      <alignment vertical="top" wrapText="1"/>
    </xf>
    <xf numFmtId="165" fontId="2" fillId="0" borderId="14" xfId="1" applyNumberFormat="1" applyFont="1" applyBorder="1" applyAlignment="1">
      <alignment vertical="top" wrapText="1"/>
    </xf>
    <xf numFmtId="165" fontId="2" fillId="0" borderId="24" xfId="1" applyNumberFormat="1" applyFont="1" applyBorder="1" applyAlignment="1">
      <alignment vertical="top" wrapText="1"/>
    </xf>
    <xf numFmtId="165" fontId="2" fillId="0" borderId="15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vertical="top" wrapText="1"/>
    </xf>
    <xf numFmtId="165" fontId="2" fillId="0" borderId="16" xfId="1" applyNumberFormat="1" applyFont="1" applyBorder="1" applyAlignment="1">
      <alignment vertical="top" wrapText="1"/>
    </xf>
    <xf numFmtId="165" fontId="2" fillId="0" borderId="25" xfId="1" applyNumberFormat="1" applyFont="1" applyBorder="1" applyAlignment="1">
      <alignment vertical="top" wrapText="1"/>
    </xf>
    <xf numFmtId="165" fontId="2" fillId="0" borderId="9" xfId="1" applyNumberFormat="1" applyFont="1" applyBorder="1" applyAlignment="1">
      <alignment vertical="top" wrapText="1"/>
    </xf>
    <xf numFmtId="165" fontId="2" fillId="0" borderId="10" xfId="1" applyNumberFormat="1" applyFont="1" applyBorder="1" applyAlignment="1">
      <alignment vertical="top" wrapText="1"/>
    </xf>
    <xf numFmtId="165" fontId="2" fillId="0" borderId="11" xfId="1" applyNumberFormat="1" applyFont="1" applyBorder="1" applyAlignment="1">
      <alignment vertical="top" wrapText="1"/>
    </xf>
    <xf numFmtId="165" fontId="2" fillId="0" borderId="2" xfId="1" applyNumberFormat="1" applyFont="1" applyBorder="1" applyAlignment="1">
      <alignment vertical="top" wrapText="1"/>
    </xf>
    <xf numFmtId="165" fontId="2" fillId="0" borderId="17" xfId="1" applyNumberFormat="1" applyFont="1" applyBorder="1" applyAlignment="1">
      <alignment vertical="top" wrapText="1"/>
    </xf>
    <xf numFmtId="165" fontId="2" fillId="0" borderId="26" xfId="1" applyNumberFormat="1" applyFont="1" applyBorder="1" applyAlignment="1">
      <alignment vertical="top" wrapText="1"/>
    </xf>
    <xf numFmtId="165" fontId="2" fillId="0" borderId="18" xfId="1" applyNumberFormat="1" applyFont="1" applyBorder="1" applyAlignment="1">
      <alignment vertical="top" wrapText="1"/>
    </xf>
    <xf numFmtId="165" fontId="2" fillId="0" borderId="27" xfId="1" applyNumberFormat="1" applyFont="1" applyBorder="1" applyAlignment="1">
      <alignment vertical="top" wrapText="1"/>
    </xf>
    <xf numFmtId="165" fontId="2" fillId="0" borderId="3" xfId="1" applyNumberFormat="1" applyFont="1" applyBorder="1" applyAlignment="1">
      <alignment vertical="top" wrapText="1"/>
    </xf>
    <xf numFmtId="165" fontId="2" fillId="0" borderId="4" xfId="1" applyNumberFormat="1" applyFont="1" applyBorder="1" applyAlignment="1">
      <alignment vertical="top" wrapText="1"/>
    </xf>
    <xf numFmtId="165" fontId="2" fillId="0" borderId="5" xfId="1" applyNumberFormat="1" applyFont="1" applyBorder="1" applyAlignment="1">
      <alignment vertical="top" wrapText="1"/>
    </xf>
    <xf numFmtId="165" fontId="2" fillId="0" borderId="29" xfId="1" applyNumberFormat="1" applyFont="1" applyBorder="1" applyAlignment="1">
      <alignment vertical="top" wrapText="1"/>
    </xf>
    <xf numFmtId="165" fontId="2" fillId="0" borderId="28" xfId="1" applyNumberFormat="1" applyFont="1" applyBorder="1" applyAlignment="1">
      <alignment vertical="top" wrapText="1"/>
    </xf>
    <xf numFmtId="165" fontId="2" fillId="0" borderId="30" xfId="1" applyNumberFormat="1" applyFont="1" applyBorder="1" applyAlignment="1">
      <alignment vertical="top" wrapText="1"/>
    </xf>
    <xf numFmtId="165" fontId="2" fillId="0" borderId="6" xfId="1" applyNumberFormat="1" applyFont="1" applyBorder="1" applyAlignment="1">
      <alignment vertical="top" wrapText="1"/>
    </xf>
    <xf numFmtId="165" fontId="2" fillId="0" borderId="7" xfId="1" applyNumberFormat="1" applyFont="1" applyBorder="1" applyAlignment="1">
      <alignment vertical="top" wrapText="1"/>
    </xf>
    <xf numFmtId="165" fontId="2" fillId="0" borderId="8" xfId="1" applyNumberFormat="1" applyFont="1" applyBorder="1" applyAlignment="1">
      <alignment vertical="top" wrapText="1"/>
    </xf>
    <xf numFmtId="165" fontId="2" fillId="0" borderId="31" xfId="1" applyNumberFormat="1" applyFont="1" applyBorder="1" applyAlignment="1">
      <alignment vertical="top" wrapText="1"/>
    </xf>
    <xf numFmtId="165" fontId="2" fillId="0" borderId="32" xfId="1" applyNumberFormat="1" applyFont="1" applyBorder="1" applyAlignment="1">
      <alignment vertical="top" wrapText="1"/>
    </xf>
    <xf numFmtId="165" fontId="2" fillId="0" borderId="33" xfId="1" applyNumberFormat="1" applyFont="1" applyBorder="1" applyAlignment="1">
      <alignment vertical="top" wrapText="1"/>
    </xf>
    <xf numFmtId="165" fontId="2" fillId="0" borderId="34" xfId="1" applyNumberFormat="1" applyFont="1" applyBorder="1" applyAlignment="1">
      <alignment vertical="top" wrapText="1"/>
    </xf>
    <xf numFmtId="165" fontId="2" fillId="0" borderId="35" xfId="1" applyNumberFormat="1" applyFont="1" applyBorder="1" applyAlignment="1">
      <alignment vertical="top" wrapText="1"/>
    </xf>
    <xf numFmtId="165" fontId="2" fillId="0" borderId="21" xfId="1" applyNumberFormat="1" applyFont="1" applyBorder="1" applyAlignment="1">
      <alignment vertical="top" wrapText="1"/>
    </xf>
    <xf numFmtId="165" fontId="2" fillId="0" borderId="36" xfId="1" applyNumberFormat="1" applyFont="1" applyBorder="1" applyAlignment="1">
      <alignment vertical="top" wrapText="1"/>
    </xf>
    <xf numFmtId="165" fontId="2" fillId="0" borderId="37" xfId="1" applyNumberFormat="1" applyFont="1" applyBorder="1" applyAlignment="1">
      <alignment vertical="top" wrapText="1"/>
    </xf>
    <xf numFmtId="165" fontId="2" fillId="0" borderId="22" xfId="1" applyNumberFormat="1" applyFont="1" applyBorder="1" applyAlignment="1">
      <alignment vertical="top" wrapText="1"/>
    </xf>
    <xf numFmtId="165" fontId="2" fillId="0" borderId="38" xfId="1" applyNumberFormat="1" applyFont="1" applyBorder="1" applyAlignment="1">
      <alignment vertical="top" wrapText="1"/>
    </xf>
    <xf numFmtId="165" fontId="2" fillId="2" borderId="3" xfId="1" applyNumberFormat="1" applyFont="1" applyFill="1" applyBorder="1" applyAlignment="1">
      <alignment vertical="top" wrapText="1"/>
    </xf>
    <xf numFmtId="165" fontId="2" fillId="2" borderId="15" xfId="1" applyNumberFormat="1" applyFont="1" applyFill="1" applyBorder="1" applyAlignment="1">
      <alignment vertical="top" wrapText="1"/>
    </xf>
    <xf numFmtId="165" fontId="2" fillId="2" borderId="9" xfId="1" applyNumberFormat="1" applyFont="1" applyFill="1" applyBorder="1" applyAlignment="1">
      <alignment vertical="top" wrapText="1"/>
    </xf>
    <xf numFmtId="165" fontId="2" fillId="2" borderId="4" xfId="1" applyNumberFormat="1" applyFont="1" applyFill="1" applyBorder="1" applyAlignment="1">
      <alignment vertical="top" wrapText="1"/>
    </xf>
    <xf numFmtId="165" fontId="2" fillId="2" borderId="1" xfId="1" applyNumberFormat="1" applyFont="1" applyFill="1" applyBorder="1" applyAlignment="1">
      <alignment vertical="top" wrapText="1"/>
    </xf>
    <xf numFmtId="165" fontId="2" fillId="2" borderId="10" xfId="1" applyNumberFormat="1" applyFont="1" applyFill="1" applyBorder="1" applyAlignment="1">
      <alignment vertical="top" wrapText="1"/>
    </xf>
    <xf numFmtId="165" fontId="2" fillId="2" borderId="13" xfId="1" applyNumberFormat="1" applyFont="1" applyFill="1" applyBorder="1" applyAlignment="1">
      <alignment vertical="top" wrapText="1"/>
    </xf>
    <xf numFmtId="165" fontId="2" fillId="2" borderId="12" xfId="1" applyNumberFormat="1" applyFont="1" applyFill="1" applyBorder="1" applyAlignment="1">
      <alignment vertical="top" wrapText="1"/>
    </xf>
    <xf numFmtId="165" fontId="2" fillId="0" borderId="39" xfId="1" applyNumberFormat="1" applyFont="1" applyBorder="1" applyAlignment="1">
      <alignment vertical="top" wrapText="1"/>
    </xf>
    <xf numFmtId="165" fontId="2" fillId="2" borderId="35" xfId="1" applyNumberFormat="1" applyFont="1" applyFill="1" applyBorder="1" applyAlignment="1">
      <alignment vertical="top" wrapText="1"/>
    </xf>
    <xf numFmtId="165" fontId="2" fillId="2" borderId="36" xfId="1" applyNumberFormat="1" applyFont="1" applyFill="1" applyBorder="1" applyAlignment="1">
      <alignment vertical="top" wrapText="1"/>
    </xf>
    <xf numFmtId="165" fontId="2" fillId="2" borderId="38" xfId="1" applyNumberFormat="1" applyFont="1" applyFill="1" applyBorder="1" applyAlignment="1">
      <alignment vertical="top" wrapText="1"/>
    </xf>
    <xf numFmtId="165" fontId="2" fillId="2" borderId="39" xfId="1" applyNumberFormat="1" applyFont="1" applyFill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165" fontId="2" fillId="0" borderId="9" xfId="1" applyNumberFormat="1" applyFont="1" applyBorder="1" applyAlignment="1">
      <alignment horizontal="right" vertical="top" wrapText="1"/>
    </xf>
    <xf numFmtId="165" fontId="2" fillId="0" borderId="10" xfId="1" applyNumberFormat="1" applyFont="1" applyBorder="1" applyAlignment="1">
      <alignment horizontal="right" vertical="top" wrapText="1"/>
    </xf>
    <xf numFmtId="165" fontId="2" fillId="0" borderId="17" xfId="1" applyNumberFormat="1" applyFont="1" applyBorder="1" applyAlignment="1">
      <alignment horizontal="right" vertical="top" wrapText="1"/>
    </xf>
    <xf numFmtId="165" fontId="2" fillId="0" borderId="26" xfId="1" applyNumberFormat="1" applyFont="1" applyBorder="1" applyAlignment="1">
      <alignment horizontal="right" vertical="top" wrapText="1"/>
    </xf>
    <xf numFmtId="165" fontId="2" fillId="0" borderId="12" xfId="1" applyNumberFormat="1" applyFont="1" applyBorder="1" applyAlignment="1">
      <alignment horizontal="right" vertical="top" wrapText="1"/>
    </xf>
    <xf numFmtId="165" fontId="2" fillId="0" borderId="14" xfId="1" applyNumberFormat="1" applyFont="1" applyBorder="1" applyAlignment="1">
      <alignment horizontal="right" vertical="top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6" xfId="1" applyNumberFormat="1" applyFont="1" applyBorder="1" applyAlignment="1">
      <alignment horizontal="right" vertical="top" wrapText="1"/>
    </xf>
    <xf numFmtId="165" fontId="2" fillId="0" borderId="11" xfId="1" applyNumberFormat="1" applyFont="1" applyBorder="1" applyAlignment="1">
      <alignment horizontal="right" vertical="top" wrapText="1"/>
    </xf>
    <xf numFmtId="165" fontId="2" fillId="0" borderId="13" xfId="1" applyNumberFormat="1" applyFont="1" applyBorder="1" applyAlignment="1">
      <alignment horizontal="right" vertical="top" wrapText="1"/>
    </xf>
    <xf numFmtId="165" fontId="2" fillId="0" borderId="15" xfId="1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>
      <selection activeCell="K13" sqref="K13"/>
    </sheetView>
  </sheetViews>
  <sheetFormatPr baseColWidth="10" defaultColWidth="11.42578125" defaultRowHeight="12.75" x14ac:dyDescent="0.25"/>
  <cols>
    <col min="1" max="1" width="8.7109375" style="1" customWidth="1"/>
    <col min="2" max="2" width="13.85546875" style="1" customWidth="1"/>
    <col min="3" max="3" width="11.7109375" style="1" customWidth="1"/>
    <col min="4" max="7" width="3.85546875" style="1" customWidth="1"/>
    <col min="8" max="8" width="11.7109375" style="1" customWidth="1"/>
    <col min="9" max="9" width="8.7109375" style="1" customWidth="1"/>
    <col min="10" max="10" width="10.7109375" style="1" customWidth="1"/>
    <col min="11" max="13" width="9.7109375" style="1" customWidth="1"/>
    <col min="14" max="14" width="9.85546875" style="1" customWidth="1"/>
    <col min="15" max="19" width="10.7109375" style="1" customWidth="1"/>
    <col min="20" max="20" width="8.7109375" style="1" customWidth="1"/>
    <col min="21" max="21" width="11.7109375" style="1" customWidth="1"/>
    <col min="22" max="22" width="3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114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28"/>
      <c r="J8" s="29">
        <f>4000000/10</f>
        <v>400000</v>
      </c>
      <c r="K8" s="29">
        <f t="shared" ref="K8:S8" si="0">4000000/10</f>
        <v>400000</v>
      </c>
      <c r="L8" s="29">
        <f t="shared" si="0"/>
        <v>400000</v>
      </c>
      <c r="M8" s="29">
        <f t="shared" si="0"/>
        <v>400000</v>
      </c>
      <c r="N8" s="29">
        <f t="shared" si="0"/>
        <v>400000</v>
      </c>
      <c r="O8" s="29">
        <f t="shared" si="0"/>
        <v>400000</v>
      </c>
      <c r="P8" s="29">
        <f t="shared" si="0"/>
        <v>400000</v>
      </c>
      <c r="Q8" s="29">
        <f t="shared" si="0"/>
        <v>400000</v>
      </c>
      <c r="R8" s="29">
        <f t="shared" si="0"/>
        <v>400000</v>
      </c>
      <c r="S8" s="29">
        <f t="shared" si="0"/>
        <v>400000</v>
      </c>
      <c r="T8" s="30"/>
      <c r="U8" s="31">
        <f>SUM(I8:T8)</f>
        <v>4000000</v>
      </c>
      <c r="V8" s="11">
        <f>H8-U8</f>
        <v>0</v>
      </c>
    </row>
    <row r="9" spans="1:22" ht="51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1">C9+D9-F9</f>
        <v>3000000</v>
      </c>
      <c r="I9" s="16">
        <f>3000000/12</f>
        <v>250000</v>
      </c>
      <c r="J9" s="17">
        <f t="shared" ref="J9:T9" si="2">3000000/12</f>
        <v>250000</v>
      </c>
      <c r="K9" s="17">
        <f t="shared" si="2"/>
        <v>250000</v>
      </c>
      <c r="L9" s="17">
        <f t="shared" si="2"/>
        <v>250000</v>
      </c>
      <c r="M9" s="17">
        <f t="shared" si="2"/>
        <v>250000</v>
      </c>
      <c r="N9" s="17">
        <f t="shared" si="2"/>
        <v>250000</v>
      </c>
      <c r="O9" s="17">
        <f t="shared" si="2"/>
        <v>250000</v>
      </c>
      <c r="P9" s="17">
        <f t="shared" si="2"/>
        <v>250000</v>
      </c>
      <c r="Q9" s="17">
        <f t="shared" si="2"/>
        <v>250000</v>
      </c>
      <c r="R9" s="17">
        <f t="shared" si="2"/>
        <v>250000</v>
      </c>
      <c r="S9" s="17">
        <f t="shared" si="2"/>
        <v>250000</v>
      </c>
      <c r="T9" s="18">
        <f t="shared" si="2"/>
        <v>250000</v>
      </c>
      <c r="U9" s="33">
        <f t="shared" ref="U9:U12" si="3">SUM(I9:T9)</f>
        <v>3000000</v>
      </c>
      <c r="V9" s="15">
        <f t="shared" ref="V9:V12" si="4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/>
      <c r="E10" s="84"/>
      <c r="F10" s="84"/>
      <c r="G10" s="85"/>
      <c r="H10" s="32">
        <f t="shared" si="1"/>
        <v>62000000</v>
      </c>
      <c r="I10" s="16"/>
      <c r="J10" s="17">
        <v>62000000</v>
      </c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33">
        <f t="shared" si="3"/>
        <v>62000000</v>
      </c>
      <c r="V10" s="15">
        <f t="shared" si="4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/>
      <c r="G11" s="85"/>
      <c r="H11" s="32">
        <f t="shared" si="1"/>
        <v>34000000</v>
      </c>
      <c r="I11" s="16"/>
      <c r="J11" s="17"/>
      <c r="K11" s="17"/>
      <c r="L11" s="17"/>
      <c r="M11" s="17"/>
      <c r="N11" s="17"/>
      <c r="O11" s="17">
        <v>34000000</v>
      </c>
      <c r="P11" s="17"/>
      <c r="Q11" s="17"/>
      <c r="R11" s="17"/>
      <c r="S11" s="17"/>
      <c r="T11" s="18"/>
      <c r="U11" s="33">
        <f t="shared" si="3"/>
        <v>34000000</v>
      </c>
      <c r="V11" s="15">
        <f t="shared" si="4"/>
        <v>0</v>
      </c>
    </row>
    <row r="12" spans="1:22" ht="25.5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1"/>
        <v>100000</v>
      </c>
      <c r="I12" s="16">
        <f>100000/12</f>
        <v>8333.3333333333339</v>
      </c>
      <c r="J12" s="17">
        <f t="shared" ref="J12:T12" si="5">100000/12</f>
        <v>8333.3333333333339</v>
      </c>
      <c r="K12" s="17">
        <f t="shared" si="5"/>
        <v>8333.3333333333339</v>
      </c>
      <c r="L12" s="17">
        <f t="shared" si="5"/>
        <v>8333.3333333333339</v>
      </c>
      <c r="M12" s="17">
        <f t="shared" si="5"/>
        <v>8333.3333333333339</v>
      </c>
      <c r="N12" s="17">
        <f t="shared" si="5"/>
        <v>8333.3333333333339</v>
      </c>
      <c r="O12" s="17">
        <f t="shared" si="5"/>
        <v>8333.3333333333339</v>
      </c>
      <c r="P12" s="17">
        <f t="shared" si="5"/>
        <v>8333.3333333333339</v>
      </c>
      <c r="Q12" s="17">
        <f t="shared" si="5"/>
        <v>8333.3333333333339</v>
      </c>
      <c r="R12" s="17">
        <f t="shared" si="5"/>
        <v>8333.3333333333339</v>
      </c>
      <c r="S12" s="17">
        <f t="shared" si="5"/>
        <v>8333.3333333333339</v>
      </c>
      <c r="T12" s="18">
        <f t="shared" si="5"/>
        <v>8333.3333333333339</v>
      </c>
      <c r="U12" s="33">
        <f t="shared" si="3"/>
        <v>99999.999999999985</v>
      </c>
      <c r="V12" s="15">
        <f t="shared" si="4"/>
        <v>0</v>
      </c>
    </row>
    <row r="13" spans="1:22" ht="25.5" x14ac:dyDescent="0.25">
      <c r="A13" s="6" t="s">
        <v>36</v>
      </c>
      <c r="B13" s="7" t="s">
        <v>37</v>
      </c>
      <c r="C13" s="19">
        <v>1000</v>
      </c>
      <c r="D13" s="88"/>
      <c r="E13" s="84"/>
      <c r="F13" s="84"/>
      <c r="G13" s="85"/>
      <c r="H13" s="32">
        <f t="shared" ref="H13:H15" si="6">C13+D13-F13</f>
        <v>1000</v>
      </c>
      <c r="I13" s="20">
        <v>1000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33">
        <f t="shared" ref="U13:U15" si="7">SUM(I13:T13)</f>
        <v>1000</v>
      </c>
      <c r="V13" s="15">
        <f t="shared" ref="V13:V15" si="8">H13-U13</f>
        <v>0</v>
      </c>
    </row>
    <row r="14" spans="1:22" ht="25.5" x14ac:dyDescent="0.25">
      <c r="A14" s="6" t="s">
        <v>38</v>
      </c>
      <c r="B14" s="7" t="s">
        <v>39</v>
      </c>
      <c r="C14" s="19">
        <v>1000</v>
      </c>
      <c r="D14" s="88"/>
      <c r="E14" s="84"/>
      <c r="F14" s="84"/>
      <c r="G14" s="85"/>
      <c r="H14" s="32">
        <f t="shared" si="6"/>
        <v>1000</v>
      </c>
      <c r="I14" s="20">
        <v>1000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33">
        <f t="shared" si="7"/>
        <v>1000</v>
      </c>
      <c r="V14" s="15">
        <f t="shared" si="8"/>
        <v>0</v>
      </c>
    </row>
    <row r="15" spans="1:22" ht="25.5" x14ac:dyDescent="0.25">
      <c r="A15" s="6" t="s">
        <v>40</v>
      </c>
      <c r="B15" s="7" t="s">
        <v>41</v>
      </c>
      <c r="C15" s="19">
        <v>1000</v>
      </c>
      <c r="D15" s="88"/>
      <c r="E15" s="84"/>
      <c r="F15" s="84"/>
      <c r="G15" s="85"/>
      <c r="H15" s="32">
        <f t="shared" si="6"/>
        <v>1000</v>
      </c>
      <c r="I15" s="20">
        <v>1000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33">
        <f t="shared" si="7"/>
        <v>1000</v>
      </c>
      <c r="V15" s="15">
        <f t="shared" si="8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33">
        <f t="shared" ref="U16" si="9">SUM(I16:T16)</f>
        <v>0</v>
      </c>
      <c r="V16" s="15">
        <f t="shared" ref="V16" si="10">H16-U16</f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0</v>
      </c>
      <c r="E17" s="81"/>
      <c r="F17" s="80">
        <f>SUM(F8:G16)</f>
        <v>0</v>
      </c>
      <c r="G17" s="81"/>
      <c r="H17" s="23">
        <f t="shared" ref="H17:V17" si="11">SUM(H8:H16)</f>
        <v>103103000</v>
      </c>
      <c r="I17" s="37">
        <f t="shared" si="11"/>
        <v>261333.33333333334</v>
      </c>
      <c r="J17" s="38">
        <f t="shared" si="11"/>
        <v>62658333.333333336</v>
      </c>
      <c r="K17" s="38">
        <f t="shared" si="11"/>
        <v>658333.33333333337</v>
      </c>
      <c r="L17" s="38">
        <f t="shared" si="11"/>
        <v>658333.33333333337</v>
      </c>
      <c r="M17" s="38">
        <f t="shared" si="11"/>
        <v>658333.33333333337</v>
      </c>
      <c r="N17" s="38">
        <f t="shared" si="11"/>
        <v>658333.33333333337</v>
      </c>
      <c r="O17" s="38">
        <f t="shared" si="11"/>
        <v>34658333.333333336</v>
      </c>
      <c r="P17" s="38">
        <f t="shared" si="11"/>
        <v>658333.33333333337</v>
      </c>
      <c r="Q17" s="38">
        <f t="shared" si="11"/>
        <v>658333.33333333337</v>
      </c>
      <c r="R17" s="38">
        <f t="shared" si="11"/>
        <v>658333.33333333337</v>
      </c>
      <c r="S17" s="38">
        <f t="shared" si="11"/>
        <v>658333.33333333337</v>
      </c>
      <c r="T17" s="39">
        <f t="shared" si="11"/>
        <v>258333.33333333334</v>
      </c>
      <c r="U17" s="23">
        <f t="shared" si="11"/>
        <v>103103000</v>
      </c>
      <c r="V17" s="23">
        <f t="shared" si="11"/>
        <v>0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90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38.25" x14ac:dyDescent="0.25">
      <c r="A22" s="2" t="s">
        <v>77</v>
      </c>
      <c r="B22" s="3" t="s">
        <v>78</v>
      </c>
      <c r="C22" s="11">
        <v>9700000</v>
      </c>
      <c r="D22" s="12"/>
      <c r="E22" s="13"/>
      <c r="F22" s="13"/>
      <c r="G22" s="14"/>
      <c r="H22" s="27">
        <f>C22+D22-E22+F22-G22</f>
        <v>9700000</v>
      </c>
      <c r="I22" s="28"/>
      <c r="J22" s="29"/>
      <c r="K22" s="29"/>
      <c r="L22" s="29"/>
      <c r="M22" s="29"/>
      <c r="N22" s="29"/>
      <c r="O22" s="29">
        <f>9700000/5</f>
        <v>1940000</v>
      </c>
      <c r="P22" s="29">
        <f t="shared" ref="P22:S22" si="12">9700000/5</f>
        <v>1940000</v>
      </c>
      <c r="Q22" s="29">
        <f t="shared" si="12"/>
        <v>1940000</v>
      </c>
      <c r="R22" s="29">
        <f t="shared" si="12"/>
        <v>1940000</v>
      </c>
      <c r="S22" s="29">
        <f t="shared" si="12"/>
        <v>1940000</v>
      </c>
      <c r="T22" s="41"/>
      <c r="U22" s="42">
        <f>SUM(I22:T22)</f>
        <v>9700000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34" si="13">C23+D23-E23+F23-G23</f>
        <v>4400000</v>
      </c>
      <c r="I23" s="16"/>
      <c r="J23" s="17"/>
      <c r="K23" s="17"/>
      <c r="L23" s="17"/>
      <c r="M23" s="17"/>
      <c r="N23" s="17"/>
      <c r="O23" s="17">
        <f>4400000/5</f>
        <v>880000</v>
      </c>
      <c r="P23" s="17">
        <f t="shared" ref="P23:S23" si="14">4400000/5</f>
        <v>880000</v>
      </c>
      <c r="Q23" s="17">
        <f t="shared" si="14"/>
        <v>880000</v>
      </c>
      <c r="R23" s="17">
        <f t="shared" si="14"/>
        <v>880000</v>
      </c>
      <c r="S23" s="17">
        <f t="shared" si="14"/>
        <v>880000</v>
      </c>
      <c r="T23" s="43"/>
      <c r="U23" s="11">
        <f t="shared" ref="U23:U34" si="15">SUM(I23:T23)</f>
        <v>4400000</v>
      </c>
      <c r="V23" s="11">
        <f t="shared" ref="V23:V34" si="16">H23-U23</f>
        <v>0</v>
      </c>
    </row>
    <row r="24" spans="1:22" ht="38.2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13"/>
        <v>14100000</v>
      </c>
      <c r="I24" s="16"/>
      <c r="J24" s="17">
        <f>14100000/10</f>
        <v>1410000</v>
      </c>
      <c r="K24" s="17">
        <f t="shared" ref="K24:S24" si="17">14100000/10</f>
        <v>1410000</v>
      </c>
      <c r="L24" s="17">
        <f t="shared" si="17"/>
        <v>1410000</v>
      </c>
      <c r="M24" s="17">
        <f t="shared" si="17"/>
        <v>1410000</v>
      </c>
      <c r="N24" s="17">
        <f t="shared" si="17"/>
        <v>1410000</v>
      </c>
      <c r="O24" s="17">
        <f t="shared" si="17"/>
        <v>1410000</v>
      </c>
      <c r="P24" s="17">
        <f t="shared" si="17"/>
        <v>1410000</v>
      </c>
      <c r="Q24" s="17">
        <f t="shared" si="17"/>
        <v>1410000</v>
      </c>
      <c r="R24" s="17">
        <f t="shared" si="17"/>
        <v>1410000</v>
      </c>
      <c r="S24" s="17">
        <f t="shared" si="17"/>
        <v>1410000</v>
      </c>
      <c r="T24" s="43"/>
      <c r="U24" s="11">
        <f t="shared" si="15"/>
        <v>14100000</v>
      </c>
      <c r="V24" s="11">
        <f t="shared" si="16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13"/>
        <v>1000</v>
      </c>
      <c r="I25" s="16"/>
      <c r="J25" s="17">
        <f>1000/10</f>
        <v>100</v>
      </c>
      <c r="K25" s="17">
        <f t="shared" ref="K25:S25" si="18">1000/10</f>
        <v>100</v>
      </c>
      <c r="L25" s="17">
        <f t="shared" si="18"/>
        <v>100</v>
      </c>
      <c r="M25" s="17">
        <f t="shared" si="18"/>
        <v>100</v>
      </c>
      <c r="N25" s="17">
        <f t="shared" si="18"/>
        <v>100</v>
      </c>
      <c r="O25" s="17">
        <f t="shared" si="18"/>
        <v>100</v>
      </c>
      <c r="P25" s="17">
        <f t="shared" si="18"/>
        <v>100</v>
      </c>
      <c r="Q25" s="17">
        <f t="shared" si="18"/>
        <v>100</v>
      </c>
      <c r="R25" s="17">
        <f t="shared" si="18"/>
        <v>100</v>
      </c>
      <c r="S25" s="17">
        <f t="shared" si="18"/>
        <v>100</v>
      </c>
      <c r="T25" s="43"/>
      <c r="U25" s="11">
        <f t="shared" si="15"/>
        <v>1000</v>
      </c>
      <c r="V25" s="11">
        <f t="shared" si="16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/>
      <c r="E26" s="13"/>
      <c r="F26" s="13"/>
      <c r="G26" s="14"/>
      <c r="H26" s="27">
        <f t="shared" si="13"/>
        <v>14200000</v>
      </c>
      <c r="I26" s="16"/>
      <c r="J26" s="17">
        <f>14200000/10</f>
        <v>1420000</v>
      </c>
      <c r="K26" s="17">
        <f t="shared" ref="K26:S26" si="19">14200000/10</f>
        <v>1420000</v>
      </c>
      <c r="L26" s="17">
        <f t="shared" si="19"/>
        <v>1420000</v>
      </c>
      <c r="M26" s="17">
        <f t="shared" si="19"/>
        <v>1420000</v>
      </c>
      <c r="N26" s="17">
        <f t="shared" si="19"/>
        <v>1420000</v>
      </c>
      <c r="O26" s="17">
        <f t="shared" si="19"/>
        <v>1420000</v>
      </c>
      <c r="P26" s="17">
        <f t="shared" si="19"/>
        <v>1420000</v>
      </c>
      <c r="Q26" s="17">
        <f t="shared" si="19"/>
        <v>1420000</v>
      </c>
      <c r="R26" s="17">
        <f t="shared" si="19"/>
        <v>1420000</v>
      </c>
      <c r="S26" s="17">
        <f t="shared" si="19"/>
        <v>1420000</v>
      </c>
      <c r="T26" s="43"/>
      <c r="U26" s="11">
        <f t="shared" si="15"/>
        <v>14200000</v>
      </c>
      <c r="V26" s="11">
        <f t="shared" si="16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/>
      <c r="F27" s="13"/>
      <c r="G27" s="14"/>
      <c r="H27" s="27">
        <f t="shared" si="13"/>
        <v>11600000</v>
      </c>
      <c r="I27" s="16"/>
      <c r="J27" s="17"/>
      <c r="K27" s="17"/>
      <c r="L27" s="17"/>
      <c r="M27" s="17"/>
      <c r="N27" s="17"/>
      <c r="O27" s="17">
        <f>11600000/5</f>
        <v>2320000</v>
      </c>
      <c r="P27" s="17">
        <f t="shared" ref="P27:S27" si="20">11600000/5</f>
        <v>2320000</v>
      </c>
      <c r="Q27" s="17">
        <f t="shared" si="20"/>
        <v>2320000</v>
      </c>
      <c r="R27" s="17">
        <f t="shared" si="20"/>
        <v>2320000</v>
      </c>
      <c r="S27" s="17">
        <f t="shared" si="20"/>
        <v>2320000</v>
      </c>
      <c r="T27" s="43"/>
      <c r="U27" s="11">
        <f t="shared" si="15"/>
        <v>11600000</v>
      </c>
      <c r="V27" s="11">
        <f t="shared" si="16"/>
        <v>0</v>
      </c>
    </row>
    <row r="28" spans="1:22" ht="25.5" x14ac:dyDescent="0.25">
      <c r="A28" s="2" t="s">
        <v>52</v>
      </c>
      <c r="B28" s="3" t="s">
        <v>53</v>
      </c>
      <c r="C28" s="11">
        <v>1100000</v>
      </c>
      <c r="D28" s="12"/>
      <c r="E28" s="13"/>
      <c r="F28" s="13"/>
      <c r="G28" s="14"/>
      <c r="H28" s="27">
        <f t="shared" si="13"/>
        <v>1100000</v>
      </c>
      <c r="I28" s="16">
        <f>1100000/12</f>
        <v>91666.666666666672</v>
      </c>
      <c r="J28" s="17">
        <f t="shared" ref="J28:T28" si="21">1100000/12</f>
        <v>91666.666666666672</v>
      </c>
      <c r="K28" s="17">
        <f t="shared" si="21"/>
        <v>91666.666666666672</v>
      </c>
      <c r="L28" s="17">
        <f t="shared" si="21"/>
        <v>91666.666666666672</v>
      </c>
      <c r="M28" s="17">
        <f t="shared" si="21"/>
        <v>91666.666666666672</v>
      </c>
      <c r="N28" s="17">
        <f t="shared" si="21"/>
        <v>91666.666666666672</v>
      </c>
      <c r="O28" s="17">
        <f t="shared" si="21"/>
        <v>91666.666666666672</v>
      </c>
      <c r="P28" s="17">
        <f t="shared" si="21"/>
        <v>91666.666666666672</v>
      </c>
      <c r="Q28" s="17">
        <f t="shared" si="21"/>
        <v>91666.666666666672</v>
      </c>
      <c r="R28" s="17">
        <f t="shared" si="21"/>
        <v>91666.666666666672</v>
      </c>
      <c r="S28" s="17">
        <f t="shared" si="21"/>
        <v>91666.666666666672</v>
      </c>
      <c r="T28" s="43">
        <f t="shared" si="21"/>
        <v>91666.666666666672</v>
      </c>
      <c r="U28" s="11">
        <f t="shared" si="15"/>
        <v>1099999.9999999998</v>
      </c>
      <c r="V28" s="11">
        <f t="shared" si="16"/>
        <v>0</v>
      </c>
    </row>
    <row r="29" spans="1:22" ht="25.5" x14ac:dyDescent="0.25">
      <c r="A29" s="2" t="s">
        <v>54</v>
      </c>
      <c r="B29" s="3" t="s">
        <v>55</v>
      </c>
      <c r="C29" s="11">
        <v>5000000</v>
      </c>
      <c r="D29" s="12"/>
      <c r="E29" s="13"/>
      <c r="F29" s="13"/>
      <c r="G29" s="14"/>
      <c r="H29" s="27">
        <f t="shared" si="13"/>
        <v>5000000</v>
      </c>
      <c r="I29" s="16"/>
      <c r="J29" s="17">
        <f>5000000/10</f>
        <v>500000</v>
      </c>
      <c r="K29" s="17">
        <f t="shared" ref="K29:S29" si="22">5000000/10</f>
        <v>500000</v>
      </c>
      <c r="L29" s="17">
        <f t="shared" si="22"/>
        <v>500000</v>
      </c>
      <c r="M29" s="17">
        <f t="shared" si="22"/>
        <v>500000</v>
      </c>
      <c r="N29" s="17">
        <f t="shared" si="22"/>
        <v>500000</v>
      </c>
      <c r="O29" s="17">
        <f t="shared" si="22"/>
        <v>500000</v>
      </c>
      <c r="P29" s="17">
        <f t="shared" si="22"/>
        <v>500000</v>
      </c>
      <c r="Q29" s="17">
        <f t="shared" si="22"/>
        <v>500000</v>
      </c>
      <c r="R29" s="17">
        <f t="shared" si="22"/>
        <v>500000</v>
      </c>
      <c r="S29" s="17">
        <f t="shared" si="22"/>
        <v>500000</v>
      </c>
      <c r="T29" s="43"/>
      <c r="U29" s="11">
        <f t="shared" si="15"/>
        <v>5000000</v>
      </c>
      <c r="V29" s="11">
        <f t="shared" si="16"/>
        <v>0</v>
      </c>
    </row>
    <row r="30" spans="1:22" ht="25.5" x14ac:dyDescent="0.25">
      <c r="A30" s="2" t="s">
        <v>56</v>
      </c>
      <c r="B30" s="3" t="s">
        <v>57</v>
      </c>
      <c r="C30" s="11">
        <v>24000000</v>
      </c>
      <c r="D30" s="12"/>
      <c r="E30" s="13"/>
      <c r="F30" s="13"/>
      <c r="G30" s="14"/>
      <c r="H30" s="27">
        <f t="shared" si="13"/>
        <v>24000000</v>
      </c>
      <c r="I30" s="16"/>
      <c r="J30" s="17">
        <f>24000000/10</f>
        <v>2400000</v>
      </c>
      <c r="K30" s="17">
        <f t="shared" ref="K30:S30" si="23">24000000/10</f>
        <v>2400000</v>
      </c>
      <c r="L30" s="17">
        <f t="shared" si="23"/>
        <v>2400000</v>
      </c>
      <c r="M30" s="17">
        <f t="shared" si="23"/>
        <v>2400000</v>
      </c>
      <c r="N30" s="17">
        <f t="shared" si="23"/>
        <v>2400000</v>
      </c>
      <c r="O30" s="17">
        <f t="shared" si="23"/>
        <v>2400000</v>
      </c>
      <c r="P30" s="17">
        <f t="shared" si="23"/>
        <v>2400000</v>
      </c>
      <c r="Q30" s="17">
        <f t="shared" si="23"/>
        <v>2400000</v>
      </c>
      <c r="R30" s="17">
        <f t="shared" si="23"/>
        <v>2400000</v>
      </c>
      <c r="S30" s="17">
        <f t="shared" si="23"/>
        <v>2400000</v>
      </c>
      <c r="T30" s="43"/>
      <c r="U30" s="11">
        <f t="shared" si="15"/>
        <v>24000000</v>
      </c>
      <c r="V30" s="11">
        <f t="shared" si="16"/>
        <v>0</v>
      </c>
    </row>
    <row r="31" spans="1:22" ht="25.5" x14ac:dyDescent="0.25">
      <c r="A31" s="2" t="s">
        <v>58</v>
      </c>
      <c r="B31" s="3" t="s">
        <v>59</v>
      </c>
      <c r="C31" s="11">
        <v>4300000</v>
      </c>
      <c r="D31" s="12"/>
      <c r="E31" s="13"/>
      <c r="F31" s="13"/>
      <c r="G31" s="14"/>
      <c r="H31" s="27">
        <f t="shared" si="13"/>
        <v>4300000</v>
      </c>
      <c r="I31" s="16"/>
      <c r="J31" s="17"/>
      <c r="K31" s="17"/>
      <c r="L31" s="17"/>
      <c r="M31" s="17"/>
      <c r="N31" s="17"/>
      <c r="O31" s="17">
        <f>4300000/5</f>
        <v>860000</v>
      </c>
      <c r="P31" s="17">
        <f t="shared" ref="P31:S31" si="24">4300000/5</f>
        <v>860000</v>
      </c>
      <c r="Q31" s="17">
        <f t="shared" si="24"/>
        <v>860000</v>
      </c>
      <c r="R31" s="17">
        <f t="shared" si="24"/>
        <v>860000</v>
      </c>
      <c r="S31" s="17">
        <f t="shared" si="24"/>
        <v>860000</v>
      </c>
      <c r="T31" s="43"/>
      <c r="U31" s="11">
        <f t="shared" si="15"/>
        <v>4300000</v>
      </c>
      <c r="V31" s="11">
        <f t="shared" si="16"/>
        <v>0</v>
      </c>
    </row>
    <row r="32" spans="1:22" ht="25.5" x14ac:dyDescent="0.25">
      <c r="A32" s="2" t="s">
        <v>79</v>
      </c>
      <c r="B32" s="3" t="s">
        <v>80</v>
      </c>
      <c r="C32" s="11">
        <v>3200000</v>
      </c>
      <c r="D32" s="12"/>
      <c r="E32" s="13"/>
      <c r="F32" s="13"/>
      <c r="G32" s="14"/>
      <c r="H32" s="27">
        <f t="shared" si="13"/>
        <v>3200000</v>
      </c>
      <c r="I32" s="16"/>
      <c r="J32" s="17">
        <f>3200000/10</f>
        <v>320000</v>
      </c>
      <c r="K32" s="17">
        <f t="shared" ref="K32:S32" si="25">3200000/10</f>
        <v>320000</v>
      </c>
      <c r="L32" s="17">
        <f t="shared" si="25"/>
        <v>320000</v>
      </c>
      <c r="M32" s="17">
        <f t="shared" si="25"/>
        <v>320000</v>
      </c>
      <c r="N32" s="17">
        <f t="shared" si="25"/>
        <v>320000</v>
      </c>
      <c r="O32" s="17">
        <f t="shared" si="25"/>
        <v>320000</v>
      </c>
      <c r="P32" s="17">
        <f t="shared" si="25"/>
        <v>320000</v>
      </c>
      <c r="Q32" s="17">
        <f t="shared" si="25"/>
        <v>320000</v>
      </c>
      <c r="R32" s="17">
        <f t="shared" si="25"/>
        <v>320000</v>
      </c>
      <c r="S32" s="17">
        <f t="shared" si="25"/>
        <v>320000</v>
      </c>
      <c r="T32" s="43"/>
      <c r="U32" s="11">
        <f t="shared" si="15"/>
        <v>3200000</v>
      </c>
      <c r="V32" s="11">
        <f t="shared" si="16"/>
        <v>0</v>
      </c>
    </row>
    <row r="33" spans="1:22" ht="25.5" x14ac:dyDescent="0.25">
      <c r="A33" s="2" t="s">
        <v>81</v>
      </c>
      <c r="B33" s="3" t="s">
        <v>82</v>
      </c>
      <c r="C33" s="11">
        <v>4000000</v>
      </c>
      <c r="D33" s="12"/>
      <c r="E33" s="13"/>
      <c r="F33" s="13"/>
      <c r="G33" s="14"/>
      <c r="H33" s="27">
        <f t="shared" si="13"/>
        <v>4000000</v>
      </c>
      <c r="I33" s="16"/>
      <c r="J33" s="17"/>
      <c r="K33" s="17"/>
      <c r="L33" s="17"/>
      <c r="M33" s="17"/>
      <c r="N33" s="17"/>
      <c r="O33" s="17">
        <f>4000000/5</f>
        <v>800000</v>
      </c>
      <c r="P33" s="17">
        <f t="shared" ref="P33:S33" si="26">4000000/5</f>
        <v>800000</v>
      </c>
      <c r="Q33" s="17">
        <f t="shared" si="26"/>
        <v>800000</v>
      </c>
      <c r="R33" s="17">
        <f t="shared" si="26"/>
        <v>800000</v>
      </c>
      <c r="S33" s="17">
        <f t="shared" si="26"/>
        <v>800000</v>
      </c>
      <c r="T33" s="43"/>
      <c r="U33" s="11">
        <f t="shared" si="15"/>
        <v>4000000</v>
      </c>
      <c r="V33" s="11">
        <f t="shared" si="16"/>
        <v>0</v>
      </c>
    </row>
    <row r="34" spans="1:22" ht="25.5" x14ac:dyDescent="0.25">
      <c r="A34" s="2" t="s">
        <v>83</v>
      </c>
      <c r="B34" s="3" t="s">
        <v>84</v>
      </c>
      <c r="C34" s="11">
        <v>100000</v>
      </c>
      <c r="D34" s="12"/>
      <c r="E34" s="13"/>
      <c r="F34" s="13"/>
      <c r="G34" s="14"/>
      <c r="H34" s="27">
        <f t="shared" si="13"/>
        <v>100000</v>
      </c>
      <c r="I34" s="16"/>
      <c r="J34" s="17">
        <f>100000/10</f>
        <v>10000</v>
      </c>
      <c r="K34" s="17">
        <f t="shared" ref="K34:S34" si="27">100000/10</f>
        <v>10000</v>
      </c>
      <c r="L34" s="17">
        <f t="shared" si="27"/>
        <v>10000</v>
      </c>
      <c r="M34" s="17">
        <f t="shared" si="27"/>
        <v>10000</v>
      </c>
      <c r="N34" s="17">
        <f t="shared" si="27"/>
        <v>10000</v>
      </c>
      <c r="O34" s="17">
        <f t="shared" si="27"/>
        <v>10000</v>
      </c>
      <c r="P34" s="17">
        <f t="shared" si="27"/>
        <v>10000</v>
      </c>
      <c r="Q34" s="17">
        <f t="shared" si="27"/>
        <v>10000</v>
      </c>
      <c r="R34" s="17">
        <f t="shared" si="27"/>
        <v>10000</v>
      </c>
      <c r="S34" s="17">
        <f t="shared" si="27"/>
        <v>10000</v>
      </c>
      <c r="T34" s="43"/>
      <c r="U34" s="11">
        <f t="shared" si="15"/>
        <v>100000</v>
      </c>
      <c r="V34" s="11">
        <f t="shared" si="16"/>
        <v>0</v>
      </c>
    </row>
    <row r="35" spans="1:22" ht="38.25" x14ac:dyDescent="0.25">
      <c r="A35" s="2" t="s">
        <v>60</v>
      </c>
      <c r="B35" s="3" t="s">
        <v>61</v>
      </c>
      <c r="C35" s="11">
        <v>2700000</v>
      </c>
      <c r="D35" s="12"/>
      <c r="E35" s="13"/>
      <c r="F35" s="13"/>
      <c r="G35" s="14"/>
      <c r="H35" s="27">
        <f t="shared" ref="H35:H38" si="28">C35+D35-E35+F35-G35</f>
        <v>2700000</v>
      </c>
      <c r="I35" s="16"/>
      <c r="J35" s="17">
        <f>2700000/10</f>
        <v>270000</v>
      </c>
      <c r="K35" s="17">
        <f t="shared" ref="K35:S35" si="29">2700000/10</f>
        <v>270000</v>
      </c>
      <c r="L35" s="17">
        <f t="shared" si="29"/>
        <v>270000</v>
      </c>
      <c r="M35" s="17">
        <f t="shared" si="29"/>
        <v>270000</v>
      </c>
      <c r="N35" s="17">
        <f t="shared" si="29"/>
        <v>270000</v>
      </c>
      <c r="O35" s="17">
        <f t="shared" si="29"/>
        <v>270000</v>
      </c>
      <c r="P35" s="17">
        <f t="shared" si="29"/>
        <v>270000</v>
      </c>
      <c r="Q35" s="17">
        <f t="shared" si="29"/>
        <v>270000</v>
      </c>
      <c r="R35" s="17">
        <f t="shared" si="29"/>
        <v>270000</v>
      </c>
      <c r="S35" s="17">
        <f t="shared" si="29"/>
        <v>270000</v>
      </c>
      <c r="T35" s="43"/>
      <c r="U35" s="11">
        <f t="shared" ref="U35:U38" si="30">SUM(I35:T35)</f>
        <v>2700000</v>
      </c>
      <c r="V35" s="11">
        <f t="shared" ref="V35:V38" si="31">H35-U35</f>
        <v>0</v>
      </c>
    </row>
    <row r="36" spans="1:22" ht="25.5" x14ac:dyDescent="0.25">
      <c r="A36" s="2" t="s">
        <v>62</v>
      </c>
      <c r="B36" s="3" t="s">
        <v>63</v>
      </c>
      <c r="C36" s="11">
        <v>4700000</v>
      </c>
      <c r="D36" s="12"/>
      <c r="E36" s="13"/>
      <c r="F36" s="13"/>
      <c r="G36" s="14"/>
      <c r="H36" s="27">
        <f t="shared" si="28"/>
        <v>4700000</v>
      </c>
      <c r="I36" s="16"/>
      <c r="J36" s="17">
        <f>4700000/11</f>
        <v>427272.72727272729</v>
      </c>
      <c r="K36" s="17">
        <f t="shared" ref="K36:T36" si="32">4700000/11</f>
        <v>427272.72727272729</v>
      </c>
      <c r="L36" s="17">
        <f t="shared" si="32"/>
        <v>427272.72727272729</v>
      </c>
      <c r="M36" s="17">
        <f t="shared" si="32"/>
        <v>427272.72727272729</v>
      </c>
      <c r="N36" s="17">
        <f t="shared" si="32"/>
        <v>427272.72727272729</v>
      </c>
      <c r="O36" s="17">
        <f t="shared" si="32"/>
        <v>427272.72727272729</v>
      </c>
      <c r="P36" s="17">
        <f t="shared" si="32"/>
        <v>427272.72727272729</v>
      </c>
      <c r="Q36" s="17">
        <f t="shared" si="32"/>
        <v>427272.72727272729</v>
      </c>
      <c r="R36" s="17">
        <f t="shared" si="32"/>
        <v>427272.72727272729</v>
      </c>
      <c r="S36" s="17">
        <f t="shared" si="32"/>
        <v>427272.72727272729</v>
      </c>
      <c r="T36" s="17">
        <f t="shared" si="32"/>
        <v>427272.72727272729</v>
      </c>
      <c r="U36" s="11">
        <f t="shared" si="30"/>
        <v>4700000.0000000019</v>
      </c>
      <c r="V36" s="11">
        <f t="shared" si="31"/>
        <v>0</v>
      </c>
    </row>
    <row r="37" spans="1:22" ht="38.25" x14ac:dyDescent="0.25">
      <c r="A37" s="2" t="s">
        <v>64</v>
      </c>
      <c r="B37" s="3" t="s">
        <v>65</v>
      </c>
      <c r="C37" s="11">
        <v>1000</v>
      </c>
      <c r="D37" s="12"/>
      <c r="E37" s="13"/>
      <c r="F37" s="13"/>
      <c r="G37" s="14"/>
      <c r="H37" s="27">
        <f t="shared" si="28"/>
        <v>1000</v>
      </c>
      <c r="I37" s="16">
        <f>1000/12</f>
        <v>83.333333333333329</v>
      </c>
      <c r="J37" s="17">
        <f t="shared" ref="J37:T38" si="33">1000/12</f>
        <v>83.333333333333329</v>
      </c>
      <c r="K37" s="17">
        <f t="shared" si="33"/>
        <v>83.333333333333329</v>
      </c>
      <c r="L37" s="17">
        <f t="shared" si="33"/>
        <v>83.333333333333329</v>
      </c>
      <c r="M37" s="17">
        <f t="shared" si="33"/>
        <v>83.333333333333329</v>
      </c>
      <c r="N37" s="17">
        <f t="shared" si="33"/>
        <v>83.333333333333329</v>
      </c>
      <c r="O37" s="17">
        <f t="shared" si="33"/>
        <v>83.333333333333329</v>
      </c>
      <c r="P37" s="17">
        <f t="shared" si="33"/>
        <v>83.333333333333329</v>
      </c>
      <c r="Q37" s="17">
        <f t="shared" si="33"/>
        <v>83.333333333333329</v>
      </c>
      <c r="R37" s="17">
        <f t="shared" si="33"/>
        <v>83.333333333333329</v>
      </c>
      <c r="S37" s="17">
        <f t="shared" si="33"/>
        <v>83.333333333333329</v>
      </c>
      <c r="T37" s="43">
        <f t="shared" si="33"/>
        <v>83.333333333333329</v>
      </c>
      <c r="U37" s="11">
        <f t="shared" si="30"/>
        <v>1000.0000000000001</v>
      </c>
      <c r="V37" s="11">
        <f t="shared" si="31"/>
        <v>0</v>
      </c>
    </row>
    <row r="38" spans="1:22" ht="25.5" x14ac:dyDescent="0.25">
      <c r="A38" s="2" t="s">
        <v>66</v>
      </c>
      <c r="B38" s="3" t="s">
        <v>67</v>
      </c>
      <c r="C38" s="11">
        <v>1000</v>
      </c>
      <c r="D38" s="12"/>
      <c r="E38" s="13"/>
      <c r="F38" s="13"/>
      <c r="G38" s="14"/>
      <c r="H38" s="27">
        <f t="shared" si="28"/>
        <v>1000</v>
      </c>
      <c r="I38" s="16">
        <f>1000/12</f>
        <v>83.333333333333329</v>
      </c>
      <c r="J38" s="17">
        <f t="shared" si="33"/>
        <v>83.333333333333329</v>
      </c>
      <c r="K38" s="17">
        <f t="shared" si="33"/>
        <v>83.333333333333329</v>
      </c>
      <c r="L38" s="17">
        <f t="shared" si="33"/>
        <v>83.333333333333329</v>
      </c>
      <c r="M38" s="17">
        <f t="shared" si="33"/>
        <v>83.333333333333329</v>
      </c>
      <c r="N38" s="17">
        <f t="shared" si="33"/>
        <v>83.333333333333329</v>
      </c>
      <c r="O38" s="17">
        <f t="shared" si="33"/>
        <v>83.333333333333329</v>
      </c>
      <c r="P38" s="17">
        <f t="shared" si="33"/>
        <v>83.333333333333329</v>
      </c>
      <c r="Q38" s="17">
        <f t="shared" si="33"/>
        <v>83.333333333333329</v>
      </c>
      <c r="R38" s="17">
        <f t="shared" si="33"/>
        <v>83.333333333333329</v>
      </c>
      <c r="S38" s="17">
        <f t="shared" si="33"/>
        <v>83.333333333333329</v>
      </c>
      <c r="T38" s="43">
        <f t="shared" si="33"/>
        <v>83.333333333333329</v>
      </c>
      <c r="U38" s="11">
        <f t="shared" si="30"/>
        <v>1000.0000000000001</v>
      </c>
      <c r="V38" s="11">
        <f t="shared" si="31"/>
        <v>0</v>
      </c>
    </row>
    <row r="39" spans="1:22" ht="13.5" thickBot="1" x14ac:dyDescent="0.3">
      <c r="A39" s="6"/>
      <c r="B39" s="7"/>
      <c r="C39" s="19"/>
      <c r="D39" s="20"/>
      <c r="E39" s="21"/>
      <c r="F39" s="21"/>
      <c r="G39" s="22"/>
      <c r="H39" s="40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4"/>
      <c r="U39" s="45"/>
      <c r="V39" s="19"/>
    </row>
    <row r="40" spans="1:22" ht="13.5" thickBot="1" x14ac:dyDescent="0.3">
      <c r="A40" s="75" t="s">
        <v>26</v>
      </c>
      <c r="B40" s="76"/>
      <c r="C40" s="23">
        <f t="shared" ref="C40:V40" si="34">SUM(C22:C39)</f>
        <v>103103000</v>
      </c>
      <c r="D40" s="24">
        <f t="shared" si="34"/>
        <v>0</v>
      </c>
      <c r="E40" s="25">
        <f t="shared" si="34"/>
        <v>0</v>
      </c>
      <c r="F40" s="25">
        <f t="shared" si="34"/>
        <v>0</v>
      </c>
      <c r="G40" s="26">
        <f t="shared" si="34"/>
        <v>0</v>
      </c>
      <c r="H40" s="23">
        <f t="shared" si="34"/>
        <v>103103000</v>
      </c>
      <c r="I40" s="37">
        <f t="shared" si="34"/>
        <v>91833.333333333328</v>
      </c>
      <c r="J40" s="38">
        <f t="shared" si="34"/>
        <v>6849206.0606060596</v>
      </c>
      <c r="K40" s="38">
        <f t="shared" si="34"/>
        <v>6849206.0606060596</v>
      </c>
      <c r="L40" s="38">
        <f t="shared" si="34"/>
        <v>6849206.0606060596</v>
      </c>
      <c r="M40" s="38">
        <f t="shared" si="34"/>
        <v>6849206.0606060596</v>
      </c>
      <c r="N40" s="38">
        <f t="shared" si="34"/>
        <v>6849206.0606060596</v>
      </c>
      <c r="O40" s="38">
        <f t="shared" si="34"/>
        <v>13649206.060606062</v>
      </c>
      <c r="P40" s="38">
        <f t="shared" si="34"/>
        <v>13649206.060606062</v>
      </c>
      <c r="Q40" s="38">
        <f t="shared" si="34"/>
        <v>13649206.060606062</v>
      </c>
      <c r="R40" s="38">
        <f t="shared" si="34"/>
        <v>13649206.060606062</v>
      </c>
      <c r="S40" s="38">
        <f t="shared" si="34"/>
        <v>13649206.060606062</v>
      </c>
      <c r="T40" s="39">
        <f t="shared" si="34"/>
        <v>519106.06060606061</v>
      </c>
      <c r="U40" s="23">
        <f t="shared" si="34"/>
        <v>103103000</v>
      </c>
      <c r="V40" s="23">
        <f t="shared" si="34"/>
        <v>0</v>
      </c>
    </row>
  </sheetData>
  <mergeCells count="67">
    <mergeCell ref="V20:V21"/>
    <mergeCell ref="A40:B40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O20:O21"/>
    <mergeCell ref="A20:A21"/>
    <mergeCell ref="B20:B21"/>
    <mergeCell ref="C20:C21"/>
    <mergeCell ref="O6:O7"/>
    <mergeCell ref="P6:P7"/>
    <mergeCell ref="N20:N21"/>
    <mergeCell ref="M6:M7"/>
    <mergeCell ref="Q6:Q7"/>
    <mergeCell ref="D20:G20"/>
    <mergeCell ref="I20:I21"/>
    <mergeCell ref="F17:G17"/>
    <mergeCell ref="D8:E8"/>
    <mergeCell ref="D9:E9"/>
    <mergeCell ref="D10:E10"/>
    <mergeCell ref="D11:E11"/>
    <mergeCell ref="D12:E12"/>
    <mergeCell ref="D13:E13"/>
    <mergeCell ref="F13:G13"/>
    <mergeCell ref="D14:E14"/>
    <mergeCell ref="F14:G14"/>
    <mergeCell ref="D15:E15"/>
    <mergeCell ref="F15:G15"/>
    <mergeCell ref="L6:L7"/>
    <mergeCell ref="H20:H21"/>
    <mergeCell ref="V6:V7"/>
    <mergeCell ref="A17:B17"/>
    <mergeCell ref="A19:V19"/>
    <mergeCell ref="S6:S7"/>
    <mergeCell ref="T6:T7"/>
    <mergeCell ref="N6:N7"/>
    <mergeCell ref="D16:E16"/>
    <mergeCell ref="D17:E17"/>
    <mergeCell ref="F8:G8"/>
    <mergeCell ref="F9:G9"/>
    <mergeCell ref="F10:G10"/>
    <mergeCell ref="F11:G11"/>
    <mergeCell ref="F12:G12"/>
    <mergeCell ref="F16:G16"/>
    <mergeCell ref="U6:U7"/>
    <mergeCell ref="R6:R7"/>
    <mergeCell ref="A1:V1"/>
    <mergeCell ref="A2:V2"/>
    <mergeCell ref="A3:V3"/>
    <mergeCell ref="A5:V5"/>
    <mergeCell ref="A6:A7"/>
    <mergeCell ref="B6:B7"/>
    <mergeCell ref="C6:C7"/>
    <mergeCell ref="D6:G6"/>
    <mergeCell ref="F7:G7"/>
    <mergeCell ref="H6:H7"/>
    <mergeCell ref="D7:E7"/>
    <mergeCell ref="I6:I7"/>
    <mergeCell ref="J6:J7"/>
    <mergeCell ref="K6:K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8" orientation="landscape" r:id="rId1"/>
  <headerFooter>
    <oddFooter>&amp;L&amp;F&amp;C&amp;A&amp;R&amp;P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sqref="A1:XFD1048576"/>
    </sheetView>
  </sheetViews>
  <sheetFormatPr baseColWidth="10" defaultColWidth="11.42578125" defaultRowHeight="12.75" x14ac:dyDescent="0.25"/>
  <cols>
    <col min="1" max="1" width="11.140625" style="1" customWidth="1"/>
    <col min="2" max="2" width="19.14062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8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89.2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50"/>
      <c r="P8" s="50">
        <v>330000</v>
      </c>
      <c r="Q8" s="50"/>
      <c r="R8" s="29"/>
      <c r="S8" s="29"/>
      <c r="T8" s="41"/>
      <c r="U8" s="42">
        <f>SUM(I8:T8)</f>
        <v>4471000</v>
      </c>
      <c r="V8" s="11">
        <f>H8-U8</f>
        <v>-471000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51">
        <v>133000</v>
      </c>
      <c r="P9" s="51">
        <v>231000</v>
      </c>
      <c r="Q9" s="51">
        <v>168000</v>
      </c>
      <c r="R9" s="17">
        <f>756000/3</f>
        <v>252000</v>
      </c>
      <c r="S9" s="17">
        <f t="shared" ref="S9:T9" si="1">756000/3</f>
        <v>252000</v>
      </c>
      <c r="T9" s="17">
        <f t="shared" si="1"/>
        <v>252000</v>
      </c>
      <c r="U9" s="15">
        <f t="shared" ref="U9:U16" si="2">SUM(I9:T9)</f>
        <v>3000000</v>
      </c>
      <c r="V9" s="15">
        <f t="shared" ref="V9:V16" si="3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51"/>
      <c r="P10" s="51"/>
      <c r="Q10" s="51"/>
      <c r="R10" s="17"/>
      <c r="S10" s="17"/>
      <c r="T10" s="43"/>
      <c r="U10" s="15">
        <f t="shared" si="2"/>
        <v>88979426</v>
      </c>
      <c r="V10" s="15">
        <f t="shared" si="3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51"/>
      <c r="P11" s="51"/>
      <c r="Q11" s="51"/>
      <c r="R11" s="17"/>
      <c r="S11" s="17"/>
      <c r="T11" s="43"/>
      <c r="U11" s="15">
        <f t="shared" si="2"/>
        <v>32340000</v>
      </c>
      <c r="V11" s="15">
        <f t="shared" si="3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51">
        <v>706.24</v>
      </c>
      <c r="P12" s="51">
        <v>668</v>
      </c>
      <c r="Q12" s="51">
        <v>610</v>
      </c>
      <c r="R12" s="17">
        <f>95221/3</f>
        <v>31740.333333333332</v>
      </c>
      <c r="S12" s="17">
        <f t="shared" ref="S12:T12" si="4">95221/3</f>
        <v>31740.333333333332</v>
      </c>
      <c r="T12" s="17">
        <f t="shared" si="4"/>
        <v>31740.333333333332</v>
      </c>
      <c r="U12" s="15">
        <f t="shared" si="2"/>
        <v>99999.829999999987</v>
      </c>
      <c r="V12" s="15">
        <f t="shared" si="3"/>
        <v>0.17000000001280569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52"/>
      <c r="P13" s="52"/>
      <c r="Q13" s="52"/>
      <c r="R13" s="21">
        <v>1000</v>
      </c>
      <c r="S13" s="21"/>
      <c r="T13" s="46"/>
      <c r="U13" s="15">
        <f t="shared" si="2"/>
        <v>4374645</v>
      </c>
      <c r="V13" s="15">
        <f t="shared" si="3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52"/>
      <c r="P14" s="52"/>
      <c r="Q14" s="52"/>
      <c r="R14" s="21">
        <v>1000</v>
      </c>
      <c r="S14" s="21"/>
      <c r="T14" s="46"/>
      <c r="U14" s="15">
        <f t="shared" si="2"/>
        <v>959084</v>
      </c>
      <c r="V14" s="15">
        <f t="shared" si="3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52"/>
      <c r="P15" s="52"/>
      <c r="Q15" s="52"/>
      <c r="R15" s="21">
        <v>1000</v>
      </c>
      <c r="S15" s="21"/>
      <c r="T15" s="46"/>
      <c r="U15" s="15">
        <f t="shared" si="2"/>
        <v>6881372</v>
      </c>
      <c r="V15" s="15">
        <f t="shared" si="3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2"/>
        <v>0</v>
      </c>
      <c r="V16" s="15">
        <f t="shared" si="3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5">SUM(H8:H16)</f>
        <v>140634527</v>
      </c>
      <c r="I17" s="37">
        <f t="shared" si="5"/>
        <v>682459</v>
      </c>
      <c r="J17" s="38">
        <f t="shared" si="5"/>
        <v>13561514</v>
      </c>
      <c r="K17" s="38">
        <f t="shared" si="5"/>
        <v>299075.48</v>
      </c>
      <c r="L17" s="38">
        <f t="shared" si="5"/>
        <v>89300827.400000006</v>
      </c>
      <c r="M17" s="38">
        <f t="shared" si="5"/>
        <v>33740745.18</v>
      </c>
      <c r="N17" s="38">
        <f t="shared" si="5"/>
        <v>1802700.53</v>
      </c>
      <c r="O17" s="38">
        <f t="shared" si="5"/>
        <v>133706.23999999999</v>
      </c>
      <c r="P17" s="38">
        <f t="shared" si="5"/>
        <v>561668</v>
      </c>
      <c r="Q17" s="38">
        <f t="shared" si="5"/>
        <v>168610</v>
      </c>
      <c r="R17" s="38">
        <f t="shared" si="5"/>
        <v>286740.33333333331</v>
      </c>
      <c r="S17" s="38">
        <f t="shared" si="5"/>
        <v>283740.33333333331</v>
      </c>
      <c r="T17" s="39">
        <f t="shared" si="5"/>
        <v>283740.33333333331</v>
      </c>
      <c r="U17" s="23">
        <f t="shared" si="5"/>
        <v>141105526.82999998</v>
      </c>
      <c r="V17" s="23">
        <f t="shared" si="5"/>
        <v>-470999.82999999996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>
        <v>7000000</v>
      </c>
      <c r="E22" s="13"/>
      <c r="F22" s="13"/>
      <c r="G22" s="14">
        <v>8000000</v>
      </c>
      <c r="H22" s="27">
        <f>C22+D22-E22+F22-G22</f>
        <v>8700000</v>
      </c>
      <c r="I22" s="47"/>
      <c r="J22" s="50"/>
      <c r="K22" s="50"/>
      <c r="L22" s="50"/>
      <c r="M22" s="50"/>
      <c r="N22" s="50"/>
      <c r="O22" s="50"/>
      <c r="P22" s="50"/>
      <c r="Q22" s="50"/>
      <c r="R22" s="29">
        <f>8700000/2</f>
        <v>4350000</v>
      </c>
      <c r="S22" s="29">
        <f t="shared" ref="S22" si="6">8700000/2</f>
        <v>4350000</v>
      </c>
      <c r="T22" s="41"/>
      <c r="U22" s="42">
        <f>SUM(I22:T22)</f>
        <v>8700000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3" si="7">C23+D23-E23+F23-G23</f>
        <v>4400000</v>
      </c>
      <c r="I23" s="48"/>
      <c r="J23" s="51"/>
      <c r="K23" s="51"/>
      <c r="L23" s="51"/>
      <c r="M23" s="51"/>
      <c r="N23" s="51"/>
      <c r="O23" s="51"/>
      <c r="P23" s="51"/>
      <c r="Q23" s="51"/>
      <c r="R23" s="17">
        <f>4400000/2</f>
        <v>2200000</v>
      </c>
      <c r="S23" s="17">
        <f t="shared" ref="S23" si="8">4400000/2</f>
        <v>2200000</v>
      </c>
      <c r="T23" s="43"/>
      <c r="U23" s="11">
        <f t="shared" ref="U23:U43" si="9">SUM(I23:T23)</f>
        <v>4400000</v>
      </c>
      <c r="V23" s="11">
        <f t="shared" ref="V23:V43" si="10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7"/>
        <v>14100000</v>
      </c>
      <c r="I24" s="48"/>
      <c r="J24" s="51"/>
      <c r="K24" s="51"/>
      <c r="L24" s="51"/>
      <c r="M24" s="51"/>
      <c r="N24" s="51"/>
      <c r="O24" s="51"/>
      <c r="P24" s="51"/>
      <c r="Q24" s="51"/>
      <c r="R24" s="17">
        <f>14100000/2</f>
        <v>7050000</v>
      </c>
      <c r="S24" s="17">
        <f t="shared" ref="S24" si="11">14100000/2</f>
        <v>7050000</v>
      </c>
      <c r="T24" s="43"/>
      <c r="U24" s="11">
        <f t="shared" si="9"/>
        <v>14100000</v>
      </c>
      <c r="V24" s="11">
        <f t="shared" si="10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7"/>
        <v>1000</v>
      </c>
      <c r="I25" s="48"/>
      <c r="J25" s="51"/>
      <c r="K25" s="51"/>
      <c r="L25" s="51"/>
      <c r="M25" s="51"/>
      <c r="N25" s="51"/>
      <c r="O25" s="51"/>
      <c r="P25" s="51"/>
      <c r="Q25" s="51"/>
      <c r="R25" s="17">
        <f>1000/2</f>
        <v>500</v>
      </c>
      <c r="S25" s="17">
        <f t="shared" ref="S25" si="12">1000/2</f>
        <v>500</v>
      </c>
      <c r="T25" s="43"/>
      <c r="U25" s="11">
        <f t="shared" si="9"/>
        <v>1000</v>
      </c>
      <c r="V25" s="11">
        <f t="shared" si="10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>
        <v>10000000</v>
      </c>
      <c r="E26" s="13"/>
      <c r="F26" s="13"/>
      <c r="G26" s="14"/>
      <c r="H26" s="27">
        <f t="shared" si="7"/>
        <v>24200000</v>
      </c>
      <c r="I26" s="48"/>
      <c r="J26" s="51"/>
      <c r="K26" s="51"/>
      <c r="L26" s="51"/>
      <c r="M26" s="51"/>
      <c r="N26" s="51"/>
      <c r="O26" s="51"/>
      <c r="P26" s="51"/>
      <c r="Q26" s="51"/>
      <c r="R26" s="17">
        <f>24200000/2</f>
        <v>12100000</v>
      </c>
      <c r="S26" s="17">
        <f t="shared" ref="S26" si="13">24200000/2</f>
        <v>12100000</v>
      </c>
      <c r="T26" s="43"/>
      <c r="U26" s="11">
        <f t="shared" si="9"/>
        <v>24200000</v>
      </c>
      <c r="V26" s="11">
        <f t="shared" si="10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>
        <v>1660000</v>
      </c>
      <c r="F27" s="13"/>
      <c r="G27" s="14"/>
      <c r="H27" s="27">
        <f t="shared" si="7"/>
        <v>9940000</v>
      </c>
      <c r="I27" s="48"/>
      <c r="J27" s="51"/>
      <c r="K27" s="51"/>
      <c r="L27" s="51"/>
      <c r="M27" s="51"/>
      <c r="N27" s="51"/>
      <c r="O27" s="51"/>
      <c r="P27" s="51"/>
      <c r="Q27" s="51"/>
      <c r="R27" s="17">
        <f>9940000/2</f>
        <v>4970000</v>
      </c>
      <c r="S27" s="17">
        <f t="shared" ref="S27" si="14">9940000/2</f>
        <v>4970000</v>
      </c>
      <c r="T27" s="43"/>
      <c r="U27" s="11">
        <f t="shared" si="9"/>
        <v>9940000</v>
      </c>
      <c r="V27" s="11">
        <f t="shared" si="10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7"/>
        <v>958084</v>
      </c>
      <c r="I28" s="48"/>
      <c r="J28" s="51"/>
      <c r="K28" s="51"/>
      <c r="L28" s="51"/>
      <c r="M28" s="51"/>
      <c r="N28" s="51"/>
      <c r="O28" s="51"/>
      <c r="P28" s="51"/>
      <c r="Q28" s="51"/>
      <c r="R28" s="17">
        <f>958084/2</f>
        <v>479042</v>
      </c>
      <c r="S28" s="17">
        <f t="shared" ref="S28" si="15">958084/2</f>
        <v>479042</v>
      </c>
      <c r="T28" s="43"/>
      <c r="U28" s="11">
        <f t="shared" si="9"/>
        <v>958084</v>
      </c>
      <c r="V28" s="11">
        <f t="shared" si="10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7"/>
        <v>6880372</v>
      </c>
      <c r="I29" s="48"/>
      <c r="J29" s="51"/>
      <c r="K29" s="51"/>
      <c r="L29" s="51"/>
      <c r="M29" s="51"/>
      <c r="N29" s="51"/>
      <c r="O29" s="51"/>
      <c r="P29" s="51"/>
      <c r="Q29" s="51"/>
      <c r="R29" s="17">
        <f>6880372/2</f>
        <v>3440186</v>
      </c>
      <c r="S29" s="17">
        <f t="shared" ref="S29" si="16">6880372/2</f>
        <v>3440186</v>
      </c>
      <c r="T29" s="43"/>
      <c r="U29" s="11">
        <f t="shared" si="9"/>
        <v>6880372</v>
      </c>
      <c r="V29" s="11">
        <f t="shared" si="10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7"/>
        <v>1100000</v>
      </c>
      <c r="I30" s="48">
        <v>181380</v>
      </c>
      <c r="J30" s="51">
        <v>106291</v>
      </c>
      <c r="K30" s="51">
        <v>91273</v>
      </c>
      <c r="L30" s="51">
        <v>91273</v>
      </c>
      <c r="M30" s="51">
        <v>91273</v>
      </c>
      <c r="N30" s="51">
        <v>91273</v>
      </c>
      <c r="O30" s="51">
        <v>91273</v>
      </c>
      <c r="P30" s="51">
        <v>91273</v>
      </c>
      <c r="Q30" s="51">
        <v>96033</v>
      </c>
      <c r="R30" s="17">
        <f>168658/3</f>
        <v>56219.333333333336</v>
      </c>
      <c r="S30" s="17">
        <f t="shared" ref="S30:T30" si="17">168658/3</f>
        <v>56219.333333333336</v>
      </c>
      <c r="T30" s="17">
        <f t="shared" si="17"/>
        <v>56219.333333333336</v>
      </c>
      <c r="U30" s="11">
        <f t="shared" si="9"/>
        <v>1100000</v>
      </c>
      <c r="V30" s="11">
        <f t="shared" si="10"/>
        <v>0</v>
      </c>
    </row>
    <row r="31" spans="1:22" ht="25.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7"/>
        <v>1373645</v>
      </c>
      <c r="I31" s="48"/>
      <c r="J31" s="51"/>
      <c r="K31" s="51"/>
      <c r="L31" s="51"/>
      <c r="M31" s="51"/>
      <c r="N31" s="51"/>
      <c r="O31" s="51"/>
      <c r="P31" s="51"/>
      <c r="Q31" s="51"/>
      <c r="R31" s="17">
        <f>1373645/3</f>
        <v>457881.66666666669</v>
      </c>
      <c r="S31" s="17">
        <f t="shared" ref="S31:T31" si="18">1373645/3</f>
        <v>457881.66666666669</v>
      </c>
      <c r="T31" s="17">
        <f t="shared" si="18"/>
        <v>457881.66666666669</v>
      </c>
      <c r="U31" s="11">
        <f t="shared" si="9"/>
        <v>1373645</v>
      </c>
      <c r="V31" s="11">
        <f t="shared" si="10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>
        <v>2000000</v>
      </c>
      <c r="E32" s="13"/>
      <c r="F32" s="13"/>
      <c r="G32" s="14"/>
      <c r="H32" s="27">
        <f t="shared" si="7"/>
        <v>7000000</v>
      </c>
      <c r="I32" s="48"/>
      <c r="J32" s="51"/>
      <c r="K32" s="51"/>
      <c r="L32" s="51"/>
      <c r="M32" s="51"/>
      <c r="N32" s="51"/>
      <c r="O32" s="51"/>
      <c r="P32" s="51">
        <v>4409200</v>
      </c>
      <c r="Q32" s="51"/>
      <c r="R32" s="17">
        <f>2590800/2</f>
        <v>1295400</v>
      </c>
      <c r="S32" s="17">
        <f t="shared" ref="S32" si="19">2590800/2</f>
        <v>1295400</v>
      </c>
      <c r="T32" s="43"/>
      <c r="U32" s="11">
        <f t="shared" si="9"/>
        <v>7000000</v>
      </c>
      <c r="V32" s="11">
        <f t="shared" si="10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7"/>
        <v>24000000</v>
      </c>
      <c r="I33" s="48"/>
      <c r="J33" s="51"/>
      <c r="K33" s="51"/>
      <c r="L33" s="51">
        <v>7200000</v>
      </c>
      <c r="M33" s="51">
        <v>1200000</v>
      </c>
      <c r="N33" s="51">
        <v>3600000</v>
      </c>
      <c r="O33" s="51"/>
      <c r="P33" s="51">
        <v>4800000</v>
      </c>
      <c r="Q33" s="51"/>
      <c r="R33" s="17">
        <f>7200000/2</f>
        <v>3600000</v>
      </c>
      <c r="S33" s="17">
        <f t="shared" ref="S33" si="20">7200000/2</f>
        <v>3600000</v>
      </c>
      <c r="T33" s="43"/>
      <c r="U33" s="11">
        <f t="shared" si="9"/>
        <v>24000000</v>
      </c>
      <c r="V33" s="11">
        <f t="shared" si="10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7"/>
        <v>4300000</v>
      </c>
      <c r="I34" s="48"/>
      <c r="J34" s="51"/>
      <c r="K34" s="51"/>
      <c r="L34" s="51"/>
      <c r="M34" s="51"/>
      <c r="N34" s="51"/>
      <c r="O34" s="51"/>
      <c r="P34" s="51"/>
      <c r="Q34" s="51"/>
      <c r="R34" s="17">
        <f>4300000/2</f>
        <v>2150000</v>
      </c>
      <c r="S34" s="17">
        <f t="shared" ref="S34" si="21">4300000/2</f>
        <v>2150000</v>
      </c>
      <c r="T34" s="43"/>
      <c r="U34" s="11">
        <f t="shared" si="9"/>
        <v>4300000</v>
      </c>
      <c r="V34" s="11">
        <f t="shared" si="10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7"/>
        <v>3200000</v>
      </c>
      <c r="I35" s="48"/>
      <c r="J35" s="51"/>
      <c r="K35" s="51"/>
      <c r="L35" s="51"/>
      <c r="M35" s="51"/>
      <c r="N35" s="51"/>
      <c r="O35" s="51"/>
      <c r="P35" s="51"/>
      <c r="Q35" s="51"/>
      <c r="R35" s="17">
        <f>3200000/2</f>
        <v>1600000</v>
      </c>
      <c r="S35" s="17">
        <f t="shared" ref="S35" si="22">3200000/2</f>
        <v>1600000</v>
      </c>
      <c r="T35" s="43"/>
      <c r="U35" s="11">
        <f t="shared" si="9"/>
        <v>3200000</v>
      </c>
      <c r="V35" s="11">
        <f t="shared" si="10"/>
        <v>0</v>
      </c>
    </row>
    <row r="36" spans="1:22" ht="25.5" x14ac:dyDescent="0.25">
      <c r="A36" s="2" t="s">
        <v>88</v>
      </c>
      <c r="B36" s="3" t="s">
        <v>87</v>
      </c>
      <c r="C36" s="11">
        <v>0</v>
      </c>
      <c r="D36" s="12">
        <v>7979426</v>
      </c>
      <c r="E36" s="13"/>
      <c r="F36" s="13"/>
      <c r="G36" s="14"/>
      <c r="H36" s="27">
        <f t="shared" si="7"/>
        <v>7979426</v>
      </c>
      <c r="I36" s="48"/>
      <c r="J36" s="51"/>
      <c r="K36" s="51"/>
      <c r="L36" s="51"/>
      <c r="M36" s="51"/>
      <c r="N36" s="51">
        <v>1354000</v>
      </c>
      <c r="O36" s="51"/>
      <c r="P36" s="51"/>
      <c r="Q36" s="51"/>
      <c r="R36" s="17">
        <f>6625426/2</f>
        <v>3312713</v>
      </c>
      <c r="S36" s="17">
        <f t="shared" ref="S36" si="23">6625426/2</f>
        <v>3312713</v>
      </c>
      <c r="T36" s="43"/>
      <c r="U36" s="11">
        <f t="shared" si="9"/>
        <v>7979426</v>
      </c>
      <c r="V36" s="11">
        <f t="shared" si="10"/>
        <v>0</v>
      </c>
    </row>
    <row r="37" spans="1:22" ht="25.5" x14ac:dyDescent="0.25">
      <c r="A37" s="2" t="s">
        <v>81</v>
      </c>
      <c r="B37" s="3" t="s">
        <v>82</v>
      </c>
      <c r="C37" s="11">
        <v>4000000</v>
      </c>
      <c r="D37" s="12"/>
      <c r="E37" s="13"/>
      <c r="F37" s="13">
        <v>8000000</v>
      </c>
      <c r="G37" s="14"/>
      <c r="H37" s="27">
        <f t="shared" si="7"/>
        <v>12000000</v>
      </c>
      <c r="I37" s="48"/>
      <c r="J37" s="51"/>
      <c r="K37" s="51"/>
      <c r="L37" s="51"/>
      <c r="M37" s="51"/>
      <c r="N37" s="51"/>
      <c r="O37" s="51"/>
      <c r="P37" s="51">
        <v>7905000</v>
      </c>
      <c r="Q37" s="51"/>
      <c r="R37" s="17">
        <f>4095000/2</f>
        <v>2047500</v>
      </c>
      <c r="S37" s="17">
        <f t="shared" ref="S37" si="24">4095000/2</f>
        <v>2047500</v>
      </c>
      <c r="T37" s="43"/>
      <c r="U37" s="11">
        <f t="shared" si="9"/>
        <v>12000000</v>
      </c>
      <c r="V37" s="11">
        <f t="shared" si="10"/>
        <v>0</v>
      </c>
    </row>
    <row r="38" spans="1:22" ht="25.5" x14ac:dyDescent="0.25">
      <c r="A38" s="2" t="s">
        <v>83</v>
      </c>
      <c r="B38" s="3" t="s">
        <v>84</v>
      </c>
      <c r="C38" s="11">
        <v>100000</v>
      </c>
      <c r="D38" s="12"/>
      <c r="E38" s="13"/>
      <c r="F38" s="13"/>
      <c r="G38" s="14"/>
      <c r="H38" s="27">
        <f t="shared" si="7"/>
        <v>100000</v>
      </c>
      <c r="I38" s="48"/>
      <c r="J38" s="51"/>
      <c r="K38" s="51"/>
      <c r="L38" s="51"/>
      <c r="M38" s="51"/>
      <c r="N38" s="51"/>
      <c r="O38" s="51"/>
      <c r="P38" s="51"/>
      <c r="Q38" s="51"/>
      <c r="R38" s="17">
        <f>100000/2</f>
        <v>50000</v>
      </c>
      <c r="S38" s="17">
        <f t="shared" ref="S38" si="25">100000/2</f>
        <v>50000</v>
      </c>
      <c r="T38" s="43"/>
      <c r="U38" s="11">
        <f t="shared" si="9"/>
        <v>100000</v>
      </c>
      <c r="V38" s="11">
        <f t="shared" si="10"/>
        <v>0</v>
      </c>
    </row>
    <row r="39" spans="1:22" ht="25.5" x14ac:dyDescent="0.25">
      <c r="A39" s="2" t="s">
        <v>60</v>
      </c>
      <c r="B39" s="3" t="s">
        <v>61</v>
      </c>
      <c r="C39" s="11">
        <v>2700000</v>
      </c>
      <c r="D39" s="12"/>
      <c r="E39" s="13"/>
      <c r="F39" s="13"/>
      <c r="G39" s="14"/>
      <c r="H39" s="27">
        <f t="shared" si="7"/>
        <v>2700000</v>
      </c>
      <c r="I39" s="48"/>
      <c r="J39" s="51"/>
      <c r="K39" s="51"/>
      <c r="L39" s="51"/>
      <c r="M39" s="51"/>
      <c r="N39" s="51"/>
      <c r="O39" s="51"/>
      <c r="P39" s="51"/>
      <c r="Q39" s="51"/>
      <c r="R39" s="17">
        <f>2700000/2</f>
        <v>1350000</v>
      </c>
      <c r="S39" s="17">
        <f t="shared" ref="S39" si="26">2700000/2</f>
        <v>1350000</v>
      </c>
      <c r="T39" s="43"/>
      <c r="U39" s="11">
        <f t="shared" si="9"/>
        <v>2700000</v>
      </c>
      <c r="V39" s="11">
        <f t="shared" si="10"/>
        <v>0</v>
      </c>
    </row>
    <row r="40" spans="1:22" ht="25.5" x14ac:dyDescent="0.25">
      <c r="A40" s="2" t="s">
        <v>62</v>
      </c>
      <c r="B40" s="3" t="s">
        <v>63</v>
      </c>
      <c r="C40" s="11">
        <v>4700000</v>
      </c>
      <c r="D40" s="12"/>
      <c r="E40" s="13"/>
      <c r="F40" s="13"/>
      <c r="G40" s="14"/>
      <c r="H40" s="27">
        <f t="shared" si="7"/>
        <v>4700000</v>
      </c>
      <c r="I40" s="48">
        <v>325766</v>
      </c>
      <c r="J40" s="51">
        <v>289469</v>
      </c>
      <c r="K40" s="51"/>
      <c r="L40" s="51"/>
      <c r="M40" s="51"/>
      <c r="N40" s="51"/>
      <c r="O40" s="51"/>
      <c r="P40" s="51"/>
      <c r="Q40" s="51"/>
      <c r="R40" s="17">
        <f>4084765/3</f>
        <v>1361588.3333333333</v>
      </c>
      <c r="S40" s="17">
        <f t="shared" ref="S40:T40" si="27">4084765/3</f>
        <v>1361588.3333333333</v>
      </c>
      <c r="T40" s="17">
        <f t="shared" si="27"/>
        <v>1361588.3333333333</v>
      </c>
      <c r="U40" s="11">
        <f t="shared" si="9"/>
        <v>4700000</v>
      </c>
      <c r="V40" s="11">
        <f t="shared" si="10"/>
        <v>0</v>
      </c>
    </row>
    <row r="41" spans="1:22" ht="25.5" x14ac:dyDescent="0.25">
      <c r="A41" s="2" t="s">
        <v>85</v>
      </c>
      <c r="B41" s="3" t="s">
        <v>86</v>
      </c>
      <c r="C41" s="11">
        <v>0</v>
      </c>
      <c r="D41" s="12">
        <v>3000000</v>
      </c>
      <c r="E41" s="13"/>
      <c r="F41" s="13"/>
      <c r="G41" s="14"/>
      <c r="H41" s="27">
        <f t="shared" si="7"/>
        <v>3000000</v>
      </c>
      <c r="I41" s="48"/>
      <c r="J41" s="51">
        <v>79597</v>
      </c>
      <c r="K41" s="51">
        <v>278851</v>
      </c>
      <c r="L41" s="51">
        <v>475275</v>
      </c>
      <c r="M41" s="51">
        <v>388381</v>
      </c>
      <c r="N41" s="51">
        <v>387958</v>
      </c>
      <c r="O41" s="51">
        <v>387958</v>
      </c>
      <c r="P41" s="51">
        <v>395244</v>
      </c>
      <c r="Q41" s="51">
        <v>388481</v>
      </c>
      <c r="R41" s="17">
        <f>218255/3</f>
        <v>72751.666666666672</v>
      </c>
      <c r="S41" s="17">
        <f t="shared" ref="S41:T41" si="28">218255/3</f>
        <v>72751.666666666672</v>
      </c>
      <c r="T41" s="17">
        <f t="shared" si="28"/>
        <v>72751.666666666672</v>
      </c>
      <c r="U41" s="11">
        <f t="shared" si="9"/>
        <v>2999999.9999999995</v>
      </c>
      <c r="V41" s="11">
        <f t="shared" si="10"/>
        <v>0</v>
      </c>
    </row>
    <row r="42" spans="1:22" ht="25.5" x14ac:dyDescent="0.25">
      <c r="A42" s="2" t="s">
        <v>64</v>
      </c>
      <c r="B42" s="3" t="s">
        <v>65</v>
      </c>
      <c r="C42" s="11">
        <v>1000</v>
      </c>
      <c r="D42" s="12"/>
      <c r="E42" s="13"/>
      <c r="F42" s="13"/>
      <c r="G42" s="14"/>
      <c r="H42" s="27">
        <f t="shared" si="7"/>
        <v>1000</v>
      </c>
      <c r="I42" s="48"/>
      <c r="J42" s="51"/>
      <c r="K42" s="51"/>
      <c r="L42" s="51"/>
      <c r="M42" s="51"/>
      <c r="N42" s="51"/>
      <c r="O42" s="51"/>
      <c r="P42" s="51"/>
      <c r="Q42" s="51"/>
      <c r="R42" s="17">
        <f>1000/3</f>
        <v>333.33333333333331</v>
      </c>
      <c r="S42" s="17">
        <f t="shared" ref="S42:T43" si="29">1000/3</f>
        <v>333.33333333333331</v>
      </c>
      <c r="T42" s="17">
        <f t="shared" si="29"/>
        <v>333.33333333333331</v>
      </c>
      <c r="U42" s="11">
        <f t="shared" si="9"/>
        <v>1000</v>
      </c>
      <c r="V42" s="11">
        <f t="shared" si="10"/>
        <v>0</v>
      </c>
    </row>
    <row r="43" spans="1:22" ht="25.5" x14ac:dyDescent="0.25">
      <c r="A43" s="2" t="s">
        <v>66</v>
      </c>
      <c r="B43" s="3" t="s">
        <v>67</v>
      </c>
      <c r="C43" s="11">
        <v>1000</v>
      </c>
      <c r="D43" s="12"/>
      <c r="E43" s="13"/>
      <c r="F43" s="13"/>
      <c r="G43" s="14"/>
      <c r="H43" s="27">
        <f t="shared" si="7"/>
        <v>1000</v>
      </c>
      <c r="I43" s="48"/>
      <c r="J43" s="51"/>
      <c r="K43" s="51"/>
      <c r="L43" s="51"/>
      <c r="M43" s="51"/>
      <c r="N43" s="51"/>
      <c r="O43" s="51"/>
      <c r="P43" s="51"/>
      <c r="Q43" s="51"/>
      <c r="R43" s="17">
        <f t="shared" ref="R43" si="30">1000/3</f>
        <v>333.33333333333331</v>
      </c>
      <c r="S43" s="17">
        <f t="shared" si="29"/>
        <v>333.33333333333331</v>
      </c>
      <c r="T43" s="17">
        <f t="shared" si="29"/>
        <v>333.33333333333331</v>
      </c>
      <c r="U43" s="11">
        <f t="shared" si="9"/>
        <v>1000</v>
      </c>
      <c r="V43" s="11">
        <f t="shared" si="10"/>
        <v>0</v>
      </c>
    </row>
    <row r="44" spans="1:22" ht="13.5" thickBot="1" x14ac:dyDescent="0.3">
      <c r="A44" s="6"/>
      <c r="B44" s="7"/>
      <c r="C44" s="19"/>
      <c r="D44" s="20"/>
      <c r="E44" s="21"/>
      <c r="F44" s="21"/>
      <c r="G44" s="22"/>
      <c r="H44" s="40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19"/>
    </row>
    <row r="45" spans="1:22" ht="13.5" thickBot="1" x14ac:dyDescent="0.3">
      <c r="A45" s="75" t="s">
        <v>26</v>
      </c>
      <c r="B45" s="76"/>
      <c r="C45" s="23">
        <f t="shared" ref="C45:V45" si="31">SUM(C22:C44)</f>
        <v>103103000</v>
      </c>
      <c r="D45" s="24">
        <f t="shared" si="31"/>
        <v>39191527</v>
      </c>
      <c r="E45" s="25">
        <f t="shared" si="31"/>
        <v>1660000</v>
      </c>
      <c r="F45" s="25">
        <f t="shared" si="31"/>
        <v>8000000</v>
      </c>
      <c r="G45" s="26">
        <f t="shared" si="31"/>
        <v>8000000</v>
      </c>
      <c r="H45" s="23">
        <f>SUM(H22:H44)</f>
        <v>140634527</v>
      </c>
      <c r="I45" s="37">
        <f t="shared" si="31"/>
        <v>507146</v>
      </c>
      <c r="J45" s="38">
        <f t="shared" si="31"/>
        <v>475357</v>
      </c>
      <c r="K45" s="38">
        <f t="shared" si="31"/>
        <v>370124</v>
      </c>
      <c r="L45" s="38">
        <f t="shared" si="31"/>
        <v>7766548</v>
      </c>
      <c r="M45" s="38">
        <f t="shared" si="31"/>
        <v>1679654</v>
      </c>
      <c r="N45" s="38">
        <f t="shared" si="31"/>
        <v>5433231</v>
      </c>
      <c r="O45" s="38">
        <f t="shared" si="31"/>
        <v>479231</v>
      </c>
      <c r="P45" s="38">
        <f t="shared" si="31"/>
        <v>17600717</v>
      </c>
      <c r="Q45" s="38">
        <f t="shared" si="31"/>
        <v>484514</v>
      </c>
      <c r="R45" s="38">
        <f t="shared" si="31"/>
        <v>51944448.666666672</v>
      </c>
      <c r="S45" s="38">
        <f t="shared" si="31"/>
        <v>51944448.666666672</v>
      </c>
      <c r="T45" s="39">
        <f t="shared" si="31"/>
        <v>1949107.6666666665</v>
      </c>
      <c r="U45" s="23">
        <f t="shared" si="31"/>
        <v>140634527</v>
      </c>
      <c r="V45" s="23">
        <f t="shared" si="31"/>
        <v>0</v>
      </c>
    </row>
  </sheetData>
  <mergeCells count="67">
    <mergeCell ref="V20:V21"/>
    <mergeCell ref="A45:B45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4" orientation="landscape" r:id="rId1"/>
  <headerFooter>
    <oddFooter>&amp;L&amp;F&amp;C&amp;A&amp;R&amp;P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opLeftCell="A49" zoomScaleNormal="100" workbookViewId="0">
      <selection activeCell="C23" sqref="C23"/>
    </sheetView>
  </sheetViews>
  <sheetFormatPr baseColWidth="10" defaultColWidth="11.42578125" defaultRowHeight="12.75" x14ac:dyDescent="0.25"/>
  <cols>
    <col min="1" max="1" width="11.7109375" style="1" customWidth="1"/>
    <col min="2" max="2" width="23.710937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.7109375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10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63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50"/>
      <c r="P8" s="50">
        <v>330000</v>
      </c>
      <c r="Q8" s="50"/>
      <c r="R8" s="50">
        <v>880000</v>
      </c>
      <c r="S8" s="29"/>
      <c r="T8" s="41"/>
      <c r="U8" s="42">
        <f>SUM(I8:T8)</f>
        <v>5351000</v>
      </c>
      <c r="V8" s="11">
        <f>H8-U8</f>
        <v>-1351000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51">
        <v>133000</v>
      </c>
      <c r="P9" s="51">
        <v>231000</v>
      </c>
      <c r="Q9" s="51">
        <v>168000</v>
      </c>
      <c r="R9" s="51">
        <v>269000</v>
      </c>
      <c r="S9" s="17">
        <v>243500</v>
      </c>
      <c r="T9" s="17">
        <v>243500</v>
      </c>
      <c r="U9" s="15">
        <f t="shared" ref="U9:U16" si="1">SUM(I9:T9)</f>
        <v>3000000</v>
      </c>
      <c r="V9" s="15">
        <f t="shared" ref="V9:V16" si="2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51"/>
      <c r="P10" s="51"/>
      <c r="Q10" s="51"/>
      <c r="R10" s="51"/>
      <c r="S10" s="17"/>
      <c r="T10" s="43"/>
      <c r="U10" s="15">
        <f t="shared" si="1"/>
        <v>88979426</v>
      </c>
      <c r="V10" s="15">
        <f t="shared" si="2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51"/>
      <c r="P11" s="51"/>
      <c r="Q11" s="51"/>
      <c r="R11" s="51"/>
      <c r="S11" s="17"/>
      <c r="T11" s="43"/>
      <c r="U11" s="15">
        <f t="shared" si="1"/>
        <v>32340000</v>
      </c>
      <c r="V11" s="15">
        <f t="shared" si="2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51">
        <v>706.24</v>
      </c>
      <c r="P12" s="51">
        <v>668</v>
      </c>
      <c r="Q12" s="51">
        <v>610</v>
      </c>
      <c r="R12" s="51">
        <v>506.32</v>
      </c>
      <c r="S12" s="17">
        <v>47358</v>
      </c>
      <c r="T12" s="17">
        <v>47357</v>
      </c>
      <c r="U12" s="15">
        <f t="shared" si="1"/>
        <v>100000.15</v>
      </c>
      <c r="V12" s="15">
        <f t="shared" si="2"/>
        <v>-0.14999999999417923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52"/>
      <c r="P13" s="52"/>
      <c r="Q13" s="52"/>
      <c r="R13" s="52"/>
      <c r="S13" s="21">
        <v>1000</v>
      </c>
      <c r="T13" s="46"/>
      <c r="U13" s="15">
        <f t="shared" si="1"/>
        <v>4374645</v>
      </c>
      <c r="V13" s="15">
        <f t="shared" si="2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52"/>
      <c r="P14" s="52"/>
      <c r="Q14" s="52"/>
      <c r="R14" s="52"/>
      <c r="S14" s="21">
        <v>1000</v>
      </c>
      <c r="T14" s="46"/>
      <c r="U14" s="15">
        <f t="shared" si="1"/>
        <v>959084</v>
      </c>
      <c r="V14" s="15">
        <f t="shared" si="2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52"/>
      <c r="P15" s="52"/>
      <c r="Q15" s="52"/>
      <c r="R15" s="52"/>
      <c r="S15" s="21">
        <v>1000</v>
      </c>
      <c r="T15" s="46"/>
      <c r="U15" s="15">
        <f t="shared" si="1"/>
        <v>6881372</v>
      </c>
      <c r="V15" s="15">
        <f t="shared" si="2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1"/>
        <v>0</v>
      </c>
      <c r="V16" s="15">
        <f t="shared" si="2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3">SUM(H8:H16)</f>
        <v>140634527</v>
      </c>
      <c r="I17" s="37">
        <f t="shared" si="3"/>
        <v>682459</v>
      </c>
      <c r="J17" s="38">
        <f t="shared" si="3"/>
        <v>13561514</v>
      </c>
      <c r="K17" s="38">
        <f t="shared" si="3"/>
        <v>299075.48</v>
      </c>
      <c r="L17" s="38">
        <f t="shared" si="3"/>
        <v>89300827.400000006</v>
      </c>
      <c r="M17" s="38">
        <f t="shared" si="3"/>
        <v>33740745.18</v>
      </c>
      <c r="N17" s="38">
        <f t="shared" si="3"/>
        <v>1802700.53</v>
      </c>
      <c r="O17" s="38">
        <f t="shared" si="3"/>
        <v>133706.23999999999</v>
      </c>
      <c r="P17" s="38">
        <f t="shared" si="3"/>
        <v>561668</v>
      </c>
      <c r="Q17" s="38">
        <f t="shared" si="3"/>
        <v>168610</v>
      </c>
      <c r="R17" s="38">
        <f t="shared" si="3"/>
        <v>1149506.32</v>
      </c>
      <c r="S17" s="38">
        <f t="shared" si="3"/>
        <v>293858</v>
      </c>
      <c r="T17" s="39">
        <f t="shared" si="3"/>
        <v>290857</v>
      </c>
      <c r="U17" s="23">
        <f t="shared" si="3"/>
        <v>141985527.15000001</v>
      </c>
      <c r="V17" s="23">
        <f t="shared" si="3"/>
        <v>-1351000.15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89</v>
      </c>
      <c r="B22" s="3" t="s">
        <v>90</v>
      </c>
      <c r="C22" s="11">
        <v>0</v>
      </c>
      <c r="D22" s="12">
        <v>7000000</v>
      </c>
      <c r="E22" s="13"/>
      <c r="F22" s="13"/>
      <c r="G22" s="14">
        <v>7000000</v>
      </c>
      <c r="H22" s="27">
        <f>C22+D22-E22+F22-G22</f>
        <v>0</v>
      </c>
      <c r="I22" s="47"/>
      <c r="J22" s="50"/>
      <c r="K22" s="50"/>
      <c r="L22" s="50"/>
      <c r="M22" s="50"/>
      <c r="N22" s="50"/>
      <c r="O22" s="50"/>
      <c r="P22" s="50"/>
      <c r="Q22" s="50"/>
      <c r="R22" s="50"/>
      <c r="S22" s="29">
        <v>0</v>
      </c>
      <c r="T22" s="41"/>
      <c r="U22" s="42">
        <f>SUM(I22:T22)</f>
        <v>0</v>
      </c>
      <c r="V22" s="11">
        <f>H22-U22</f>
        <v>0</v>
      </c>
    </row>
    <row r="23" spans="1:22" ht="25.5" x14ac:dyDescent="0.25">
      <c r="A23" s="2" t="s">
        <v>77</v>
      </c>
      <c r="B23" s="3" t="s">
        <v>78</v>
      </c>
      <c r="C23" s="11">
        <v>9700000</v>
      </c>
      <c r="D23" s="12"/>
      <c r="E23" s="13"/>
      <c r="F23" s="13"/>
      <c r="G23" s="14">
        <v>9700000</v>
      </c>
      <c r="H23" s="27">
        <f t="shared" ref="H23:H47" si="4">C23+D23-E23+F23-G23</f>
        <v>0</v>
      </c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13">
        <v>0</v>
      </c>
      <c r="T23" s="55"/>
      <c r="U23" s="11">
        <f t="shared" ref="U23:U24" si="5">SUM(I23:T23)</f>
        <v>0</v>
      </c>
      <c r="V23" s="11">
        <f t="shared" ref="V23:V24" si="6">H23-U23</f>
        <v>0</v>
      </c>
    </row>
    <row r="24" spans="1:22" ht="25.5" x14ac:dyDescent="0.25">
      <c r="A24" s="2" t="s">
        <v>91</v>
      </c>
      <c r="B24" s="3" t="s">
        <v>92</v>
      </c>
      <c r="C24" s="11">
        <v>0</v>
      </c>
      <c r="D24" s="12"/>
      <c r="E24" s="13"/>
      <c r="F24" s="13">
        <v>7000000</v>
      </c>
      <c r="G24" s="14"/>
      <c r="H24" s="27">
        <f t="shared" si="4"/>
        <v>7000000</v>
      </c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13">
        <v>7000000</v>
      </c>
      <c r="T24" s="55"/>
      <c r="U24" s="11">
        <f t="shared" si="5"/>
        <v>7000000</v>
      </c>
      <c r="V24" s="11">
        <f t="shared" si="6"/>
        <v>0</v>
      </c>
    </row>
    <row r="25" spans="1:22" ht="25.5" x14ac:dyDescent="0.25">
      <c r="A25" s="2" t="s">
        <v>42</v>
      </c>
      <c r="B25" s="3" t="s">
        <v>43</v>
      </c>
      <c r="C25" s="11">
        <v>4400000</v>
      </c>
      <c r="D25" s="12"/>
      <c r="E25" s="13"/>
      <c r="F25" s="13">
        <v>3500000</v>
      </c>
      <c r="G25" s="14"/>
      <c r="H25" s="27">
        <f t="shared" si="4"/>
        <v>7900000</v>
      </c>
      <c r="I25" s="48"/>
      <c r="J25" s="51"/>
      <c r="K25" s="51"/>
      <c r="L25" s="51"/>
      <c r="M25" s="51"/>
      <c r="N25" s="51"/>
      <c r="O25" s="51"/>
      <c r="P25" s="51"/>
      <c r="Q25" s="51"/>
      <c r="R25" s="51"/>
      <c r="S25" s="17">
        <v>7900000</v>
      </c>
      <c r="T25" s="43"/>
      <c r="U25" s="11">
        <f t="shared" ref="U25:U47" si="7">SUM(I25:T25)</f>
        <v>7900000</v>
      </c>
      <c r="V25" s="11">
        <f t="shared" ref="V25:V47" si="8">H25-U25</f>
        <v>0</v>
      </c>
    </row>
    <row r="26" spans="1:22" ht="25.5" x14ac:dyDescent="0.25">
      <c r="A26" s="2" t="s">
        <v>44</v>
      </c>
      <c r="B26" s="3" t="s">
        <v>45</v>
      </c>
      <c r="C26" s="11">
        <v>14100000</v>
      </c>
      <c r="D26" s="12"/>
      <c r="E26" s="13"/>
      <c r="F26" s="13"/>
      <c r="G26" s="14"/>
      <c r="H26" s="27">
        <f t="shared" si="4"/>
        <v>14100000</v>
      </c>
      <c r="I26" s="48"/>
      <c r="J26" s="51"/>
      <c r="K26" s="51"/>
      <c r="L26" s="51"/>
      <c r="M26" s="51"/>
      <c r="N26" s="51"/>
      <c r="O26" s="51"/>
      <c r="P26" s="51"/>
      <c r="Q26" s="51"/>
      <c r="R26" s="51">
        <v>13793100</v>
      </c>
      <c r="S26" s="17">
        <v>306900</v>
      </c>
      <c r="T26" s="43"/>
      <c r="U26" s="11">
        <f t="shared" si="7"/>
        <v>14100000</v>
      </c>
      <c r="V26" s="11">
        <f t="shared" si="8"/>
        <v>0</v>
      </c>
    </row>
    <row r="27" spans="1:22" ht="25.5" x14ac:dyDescent="0.25">
      <c r="A27" s="2" t="s">
        <v>93</v>
      </c>
      <c r="B27" s="3" t="s">
        <v>94</v>
      </c>
      <c r="C27" s="11">
        <v>0</v>
      </c>
      <c r="D27" s="12"/>
      <c r="E27" s="13"/>
      <c r="F27" s="13">
        <v>1400000</v>
      </c>
      <c r="G27" s="14"/>
      <c r="H27" s="27">
        <f t="shared" si="4"/>
        <v>1400000</v>
      </c>
      <c r="I27" s="48"/>
      <c r="J27" s="51"/>
      <c r="K27" s="51"/>
      <c r="L27" s="51"/>
      <c r="M27" s="51"/>
      <c r="N27" s="51"/>
      <c r="O27" s="51"/>
      <c r="P27" s="51"/>
      <c r="Q27" s="51"/>
      <c r="R27" s="51"/>
      <c r="S27" s="17">
        <v>1400000</v>
      </c>
      <c r="T27" s="43"/>
      <c r="U27" s="11">
        <f t="shared" ref="U27" si="9">SUM(I27:T27)</f>
        <v>1400000</v>
      </c>
      <c r="V27" s="11">
        <f t="shared" ref="V27" si="10">H27-U27</f>
        <v>0</v>
      </c>
    </row>
    <row r="28" spans="1:22" ht="25.5" x14ac:dyDescent="0.25">
      <c r="A28" s="2" t="s">
        <v>46</v>
      </c>
      <c r="B28" s="3" t="s">
        <v>47</v>
      </c>
      <c r="C28" s="11">
        <v>1000</v>
      </c>
      <c r="D28" s="12"/>
      <c r="E28" s="13"/>
      <c r="F28" s="13"/>
      <c r="G28" s="14"/>
      <c r="H28" s="27">
        <f t="shared" si="4"/>
        <v>1000</v>
      </c>
      <c r="I28" s="48"/>
      <c r="J28" s="51"/>
      <c r="K28" s="51"/>
      <c r="L28" s="51"/>
      <c r="M28" s="51"/>
      <c r="N28" s="51"/>
      <c r="O28" s="51"/>
      <c r="P28" s="51"/>
      <c r="Q28" s="51"/>
      <c r="R28" s="51"/>
      <c r="S28" s="17">
        <v>1000</v>
      </c>
      <c r="T28" s="43"/>
      <c r="U28" s="11">
        <f t="shared" si="7"/>
        <v>1000</v>
      </c>
      <c r="V28" s="11">
        <f t="shared" si="8"/>
        <v>0</v>
      </c>
    </row>
    <row r="29" spans="1:22" ht="25.5" x14ac:dyDescent="0.25">
      <c r="A29" s="2" t="s">
        <v>48</v>
      </c>
      <c r="B29" s="3" t="s">
        <v>49</v>
      </c>
      <c r="C29" s="11">
        <v>14200000</v>
      </c>
      <c r="D29" s="12">
        <v>10000000</v>
      </c>
      <c r="E29" s="13"/>
      <c r="F29" s="13"/>
      <c r="G29" s="14"/>
      <c r="H29" s="27">
        <f t="shared" si="4"/>
        <v>24200000</v>
      </c>
      <c r="I29" s="48"/>
      <c r="J29" s="51"/>
      <c r="K29" s="51"/>
      <c r="L29" s="51"/>
      <c r="M29" s="51"/>
      <c r="N29" s="51"/>
      <c r="O29" s="51"/>
      <c r="P29" s="51"/>
      <c r="Q29" s="51"/>
      <c r="R29" s="51"/>
      <c r="S29" s="17">
        <v>24200000</v>
      </c>
      <c r="T29" s="43"/>
      <c r="U29" s="11">
        <f t="shared" si="7"/>
        <v>24200000</v>
      </c>
      <c r="V29" s="11">
        <f t="shared" si="8"/>
        <v>0</v>
      </c>
    </row>
    <row r="30" spans="1:22" ht="25.5" x14ac:dyDescent="0.25">
      <c r="A30" s="2" t="s">
        <v>50</v>
      </c>
      <c r="B30" s="3" t="s">
        <v>51</v>
      </c>
      <c r="C30" s="11">
        <v>11600000</v>
      </c>
      <c r="D30" s="12"/>
      <c r="E30" s="13">
        <v>1660000</v>
      </c>
      <c r="F30" s="13"/>
      <c r="G30" s="14"/>
      <c r="H30" s="27">
        <f t="shared" si="4"/>
        <v>9940000</v>
      </c>
      <c r="I30" s="48"/>
      <c r="J30" s="51"/>
      <c r="K30" s="51"/>
      <c r="L30" s="51"/>
      <c r="M30" s="51"/>
      <c r="N30" s="51"/>
      <c r="O30" s="51"/>
      <c r="P30" s="51"/>
      <c r="Q30" s="51"/>
      <c r="R30" s="51"/>
      <c r="S30" s="17">
        <v>9940000</v>
      </c>
      <c r="T30" s="43"/>
      <c r="U30" s="11">
        <f t="shared" si="7"/>
        <v>9940000</v>
      </c>
      <c r="V30" s="11">
        <f t="shared" si="8"/>
        <v>0</v>
      </c>
    </row>
    <row r="31" spans="1:22" ht="25.5" x14ac:dyDescent="0.25">
      <c r="A31" s="2" t="s">
        <v>70</v>
      </c>
      <c r="B31" s="3" t="s">
        <v>71</v>
      </c>
      <c r="C31" s="11">
        <v>0</v>
      </c>
      <c r="D31" s="12">
        <v>958084</v>
      </c>
      <c r="E31" s="13"/>
      <c r="F31" s="13"/>
      <c r="G31" s="14"/>
      <c r="H31" s="27">
        <f t="shared" si="4"/>
        <v>958084</v>
      </c>
      <c r="I31" s="48"/>
      <c r="J31" s="51"/>
      <c r="K31" s="51"/>
      <c r="L31" s="51"/>
      <c r="M31" s="51"/>
      <c r="N31" s="51"/>
      <c r="O31" s="51"/>
      <c r="P31" s="51"/>
      <c r="Q31" s="51"/>
      <c r="R31" s="51"/>
      <c r="S31" s="17">
        <v>958084</v>
      </c>
      <c r="T31" s="43"/>
      <c r="U31" s="11">
        <f t="shared" si="7"/>
        <v>958084</v>
      </c>
      <c r="V31" s="11">
        <f t="shared" si="8"/>
        <v>0</v>
      </c>
    </row>
    <row r="32" spans="1:22" ht="25.5" x14ac:dyDescent="0.25">
      <c r="A32" s="2" t="s">
        <v>72</v>
      </c>
      <c r="B32" s="3" t="s">
        <v>73</v>
      </c>
      <c r="C32" s="11">
        <v>0</v>
      </c>
      <c r="D32" s="12">
        <v>6880372</v>
      </c>
      <c r="E32" s="13"/>
      <c r="F32" s="13"/>
      <c r="G32" s="14"/>
      <c r="H32" s="27">
        <f t="shared" si="4"/>
        <v>6880372</v>
      </c>
      <c r="I32" s="48"/>
      <c r="J32" s="51"/>
      <c r="K32" s="51"/>
      <c r="L32" s="51"/>
      <c r="M32" s="51"/>
      <c r="N32" s="51"/>
      <c r="O32" s="51"/>
      <c r="P32" s="51"/>
      <c r="Q32" s="51"/>
      <c r="R32" s="51">
        <v>5170000</v>
      </c>
      <c r="S32" s="17">
        <v>1710372</v>
      </c>
      <c r="T32" s="43"/>
      <c r="U32" s="11">
        <f t="shared" si="7"/>
        <v>6880372</v>
      </c>
      <c r="V32" s="11">
        <f t="shared" si="8"/>
        <v>0</v>
      </c>
    </row>
    <row r="33" spans="1:22" ht="25.5" x14ac:dyDescent="0.25">
      <c r="A33" s="2" t="s">
        <v>52</v>
      </c>
      <c r="B33" s="3" t="s">
        <v>53</v>
      </c>
      <c r="C33" s="11">
        <v>1100000</v>
      </c>
      <c r="D33" s="12"/>
      <c r="E33" s="13"/>
      <c r="F33" s="13"/>
      <c r="G33" s="14"/>
      <c r="H33" s="27">
        <f t="shared" si="4"/>
        <v>1100000</v>
      </c>
      <c r="I33" s="48">
        <v>181380</v>
      </c>
      <c r="J33" s="51">
        <v>106291</v>
      </c>
      <c r="K33" s="51">
        <v>91273</v>
      </c>
      <c r="L33" s="51">
        <v>91273</v>
      </c>
      <c r="M33" s="51">
        <v>91273</v>
      </c>
      <c r="N33" s="51">
        <v>91273</v>
      </c>
      <c r="O33" s="51">
        <v>91273</v>
      </c>
      <c r="P33" s="51">
        <v>91273</v>
      </c>
      <c r="Q33" s="51">
        <v>96033</v>
      </c>
      <c r="R33" s="51">
        <v>98889</v>
      </c>
      <c r="S33" s="17">
        <f>69769/2</f>
        <v>34884.5</v>
      </c>
      <c r="T33" s="17">
        <f>69769/2</f>
        <v>34884.5</v>
      </c>
      <c r="U33" s="11">
        <f t="shared" si="7"/>
        <v>1100000</v>
      </c>
      <c r="V33" s="11">
        <f t="shared" si="8"/>
        <v>0</v>
      </c>
    </row>
    <row r="34" spans="1:22" ht="25.5" x14ac:dyDescent="0.25">
      <c r="A34" s="2" t="s">
        <v>68</v>
      </c>
      <c r="B34" s="3" t="s">
        <v>69</v>
      </c>
      <c r="C34" s="11">
        <v>0</v>
      </c>
      <c r="D34" s="12">
        <v>1373645</v>
      </c>
      <c r="E34" s="13"/>
      <c r="F34" s="13"/>
      <c r="G34" s="14"/>
      <c r="H34" s="27">
        <f t="shared" si="4"/>
        <v>1373645</v>
      </c>
      <c r="I34" s="48"/>
      <c r="J34" s="51"/>
      <c r="K34" s="51"/>
      <c r="L34" s="51"/>
      <c r="M34" s="51"/>
      <c r="N34" s="51"/>
      <c r="O34" s="51"/>
      <c r="P34" s="51"/>
      <c r="Q34" s="51"/>
      <c r="R34" s="51"/>
      <c r="S34" s="17">
        <f>1373645/2</f>
        <v>686822.5</v>
      </c>
      <c r="T34" s="17">
        <f>1373645/2</f>
        <v>686822.5</v>
      </c>
      <c r="U34" s="11">
        <f t="shared" si="7"/>
        <v>1373645</v>
      </c>
      <c r="V34" s="11">
        <f t="shared" si="8"/>
        <v>0</v>
      </c>
    </row>
    <row r="35" spans="1:22" ht="25.5" x14ac:dyDescent="0.25">
      <c r="A35" s="2" t="s">
        <v>54</v>
      </c>
      <c r="B35" s="3" t="s">
        <v>55</v>
      </c>
      <c r="C35" s="11">
        <v>5000000</v>
      </c>
      <c r="D35" s="12">
        <v>2000000</v>
      </c>
      <c r="E35" s="13"/>
      <c r="F35" s="13"/>
      <c r="G35" s="14"/>
      <c r="H35" s="27">
        <f t="shared" si="4"/>
        <v>7000000</v>
      </c>
      <c r="I35" s="48"/>
      <c r="J35" s="51"/>
      <c r="K35" s="51"/>
      <c r="L35" s="51"/>
      <c r="M35" s="51"/>
      <c r="N35" s="51"/>
      <c r="O35" s="51"/>
      <c r="P35" s="51">
        <v>4409200</v>
      </c>
      <c r="Q35" s="51"/>
      <c r="R35" s="51"/>
      <c r="S35" s="17">
        <v>2590800</v>
      </c>
      <c r="T35" s="43"/>
      <c r="U35" s="11">
        <f t="shared" si="7"/>
        <v>7000000</v>
      </c>
      <c r="V35" s="11">
        <f t="shared" si="8"/>
        <v>0</v>
      </c>
    </row>
    <row r="36" spans="1:22" ht="25.5" x14ac:dyDescent="0.25">
      <c r="A36" s="2" t="s">
        <v>56</v>
      </c>
      <c r="B36" s="3" t="s">
        <v>57</v>
      </c>
      <c r="C36" s="11">
        <v>24000000</v>
      </c>
      <c r="D36" s="12"/>
      <c r="E36" s="13"/>
      <c r="F36" s="13"/>
      <c r="G36" s="14"/>
      <c r="H36" s="27">
        <f t="shared" si="4"/>
        <v>24000000</v>
      </c>
      <c r="I36" s="48"/>
      <c r="J36" s="51"/>
      <c r="K36" s="51"/>
      <c r="L36" s="51">
        <v>7200000</v>
      </c>
      <c r="M36" s="51">
        <v>1200000</v>
      </c>
      <c r="N36" s="51">
        <v>3600000</v>
      </c>
      <c r="O36" s="51"/>
      <c r="P36" s="51">
        <v>4800000</v>
      </c>
      <c r="Q36" s="51"/>
      <c r="R36" s="51">
        <v>4800000</v>
      </c>
      <c r="S36" s="17">
        <v>2400000</v>
      </c>
      <c r="T36" s="43"/>
      <c r="U36" s="11">
        <f t="shared" si="7"/>
        <v>24000000</v>
      </c>
      <c r="V36" s="11">
        <f t="shared" si="8"/>
        <v>0</v>
      </c>
    </row>
    <row r="37" spans="1:22" ht="25.5" x14ac:dyDescent="0.25">
      <c r="A37" s="2" t="s">
        <v>58</v>
      </c>
      <c r="B37" s="3" t="s">
        <v>59</v>
      </c>
      <c r="C37" s="11">
        <v>4300000</v>
      </c>
      <c r="D37" s="12"/>
      <c r="E37" s="13"/>
      <c r="F37" s="13"/>
      <c r="G37" s="14">
        <v>3400000</v>
      </c>
      <c r="H37" s="27">
        <f t="shared" si="4"/>
        <v>900000</v>
      </c>
      <c r="I37" s="48"/>
      <c r="J37" s="51"/>
      <c r="K37" s="51"/>
      <c r="L37" s="51"/>
      <c r="M37" s="51"/>
      <c r="N37" s="51"/>
      <c r="O37" s="51"/>
      <c r="P37" s="51"/>
      <c r="Q37" s="51"/>
      <c r="R37" s="51"/>
      <c r="S37" s="17">
        <v>900000</v>
      </c>
      <c r="T37" s="43"/>
      <c r="U37" s="11">
        <f t="shared" si="7"/>
        <v>900000</v>
      </c>
      <c r="V37" s="11">
        <f t="shared" si="8"/>
        <v>0</v>
      </c>
    </row>
    <row r="38" spans="1:22" ht="25.5" x14ac:dyDescent="0.25">
      <c r="A38" s="2" t="s">
        <v>79</v>
      </c>
      <c r="B38" s="3" t="s">
        <v>80</v>
      </c>
      <c r="C38" s="11">
        <v>3200000</v>
      </c>
      <c r="D38" s="12"/>
      <c r="E38" s="13"/>
      <c r="F38" s="13"/>
      <c r="G38" s="14"/>
      <c r="H38" s="27">
        <f t="shared" si="4"/>
        <v>3200000</v>
      </c>
      <c r="I38" s="48"/>
      <c r="J38" s="51"/>
      <c r="K38" s="51"/>
      <c r="L38" s="51"/>
      <c r="M38" s="51"/>
      <c r="N38" s="51"/>
      <c r="O38" s="51"/>
      <c r="P38" s="51"/>
      <c r="Q38" s="51"/>
      <c r="R38" s="51"/>
      <c r="S38" s="17">
        <v>3200000</v>
      </c>
      <c r="T38" s="43"/>
      <c r="U38" s="11">
        <f t="shared" si="7"/>
        <v>3200000</v>
      </c>
      <c r="V38" s="11">
        <f t="shared" si="8"/>
        <v>0</v>
      </c>
    </row>
    <row r="39" spans="1:22" ht="25.5" x14ac:dyDescent="0.25">
      <c r="A39" s="2" t="s">
        <v>88</v>
      </c>
      <c r="B39" s="3" t="s">
        <v>87</v>
      </c>
      <c r="C39" s="11">
        <v>0</v>
      </c>
      <c r="D39" s="12">
        <v>7979426</v>
      </c>
      <c r="E39" s="13"/>
      <c r="F39" s="13"/>
      <c r="G39" s="14"/>
      <c r="H39" s="27">
        <f t="shared" si="4"/>
        <v>7979426</v>
      </c>
      <c r="I39" s="48"/>
      <c r="J39" s="51"/>
      <c r="K39" s="51"/>
      <c r="L39" s="51"/>
      <c r="M39" s="51"/>
      <c r="N39" s="51">
        <v>1354000</v>
      </c>
      <c r="O39" s="51"/>
      <c r="P39" s="51"/>
      <c r="Q39" s="51"/>
      <c r="R39" s="51"/>
      <c r="S39" s="17">
        <v>6625426</v>
      </c>
      <c r="T39" s="43"/>
      <c r="U39" s="11">
        <f t="shared" si="7"/>
        <v>7979426</v>
      </c>
      <c r="V39" s="11">
        <f t="shared" si="8"/>
        <v>0</v>
      </c>
    </row>
    <row r="40" spans="1:22" ht="25.5" x14ac:dyDescent="0.25">
      <c r="A40" s="2" t="s">
        <v>81</v>
      </c>
      <c r="B40" s="3" t="s">
        <v>82</v>
      </c>
      <c r="C40" s="11">
        <v>4000000</v>
      </c>
      <c r="D40" s="12"/>
      <c r="E40" s="13"/>
      <c r="F40" s="13">
        <v>8000000</v>
      </c>
      <c r="G40" s="14"/>
      <c r="H40" s="27">
        <f t="shared" si="4"/>
        <v>12000000</v>
      </c>
      <c r="I40" s="48"/>
      <c r="J40" s="51"/>
      <c r="K40" s="51"/>
      <c r="L40" s="51"/>
      <c r="M40" s="51"/>
      <c r="N40" s="51"/>
      <c r="O40" s="51"/>
      <c r="P40" s="51">
        <v>7905000</v>
      </c>
      <c r="Q40" s="51"/>
      <c r="R40" s="51"/>
      <c r="S40" s="17">
        <v>4095000</v>
      </c>
      <c r="T40" s="43"/>
      <c r="U40" s="11">
        <f t="shared" si="7"/>
        <v>12000000</v>
      </c>
      <c r="V40" s="11">
        <f t="shared" si="8"/>
        <v>0</v>
      </c>
    </row>
    <row r="41" spans="1:22" ht="25.5" x14ac:dyDescent="0.25">
      <c r="A41" s="2" t="s">
        <v>83</v>
      </c>
      <c r="B41" s="3" t="s">
        <v>84</v>
      </c>
      <c r="C41" s="11">
        <v>100000</v>
      </c>
      <c r="D41" s="12"/>
      <c r="E41" s="13"/>
      <c r="F41" s="13"/>
      <c r="G41" s="14"/>
      <c r="H41" s="27">
        <f t="shared" si="4"/>
        <v>100000</v>
      </c>
      <c r="I41" s="48"/>
      <c r="J41" s="51"/>
      <c r="K41" s="51"/>
      <c r="L41" s="51"/>
      <c r="M41" s="51"/>
      <c r="N41" s="51"/>
      <c r="O41" s="51"/>
      <c r="P41" s="51"/>
      <c r="Q41" s="51"/>
      <c r="R41" s="51"/>
      <c r="S41" s="17">
        <v>100000</v>
      </c>
      <c r="T41" s="43"/>
      <c r="U41" s="11">
        <f t="shared" si="7"/>
        <v>100000</v>
      </c>
      <c r="V41" s="11">
        <f t="shared" si="8"/>
        <v>0</v>
      </c>
    </row>
    <row r="42" spans="1:22" ht="25.5" x14ac:dyDescent="0.25">
      <c r="A42" s="2" t="s">
        <v>60</v>
      </c>
      <c r="B42" s="3" t="s">
        <v>61</v>
      </c>
      <c r="C42" s="11">
        <v>2700000</v>
      </c>
      <c r="D42" s="12"/>
      <c r="E42" s="13"/>
      <c r="F42" s="13"/>
      <c r="G42" s="14"/>
      <c r="H42" s="27">
        <f t="shared" si="4"/>
        <v>2700000</v>
      </c>
      <c r="I42" s="48"/>
      <c r="J42" s="51"/>
      <c r="K42" s="51"/>
      <c r="L42" s="51"/>
      <c r="M42" s="51"/>
      <c r="N42" s="51"/>
      <c r="O42" s="51"/>
      <c r="P42" s="51"/>
      <c r="Q42" s="51"/>
      <c r="R42" s="51"/>
      <c r="S42" s="17">
        <v>2700000</v>
      </c>
      <c r="T42" s="43"/>
      <c r="U42" s="11">
        <f t="shared" si="7"/>
        <v>2700000</v>
      </c>
      <c r="V42" s="11">
        <f t="shared" si="8"/>
        <v>0</v>
      </c>
    </row>
    <row r="43" spans="1:22" ht="25.5" x14ac:dyDescent="0.25">
      <c r="A43" s="2" t="s">
        <v>95</v>
      </c>
      <c r="B43" s="3" t="s">
        <v>96</v>
      </c>
      <c r="C43" s="11">
        <v>0</v>
      </c>
      <c r="D43" s="12"/>
      <c r="E43" s="13"/>
      <c r="F43" s="13">
        <v>200000</v>
      </c>
      <c r="G43" s="14"/>
      <c r="H43" s="27">
        <f t="shared" si="4"/>
        <v>200000</v>
      </c>
      <c r="I43" s="48"/>
      <c r="J43" s="51"/>
      <c r="K43" s="51"/>
      <c r="L43" s="51"/>
      <c r="M43" s="51"/>
      <c r="N43" s="51"/>
      <c r="O43" s="51"/>
      <c r="P43" s="51"/>
      <c r="Q43" s="51"/>
      <c r="R43" s="51"/>
      <c r="S43" s="17">
        <v>200000</v>
      </c>
      <c r="T43" s="43"/>
      <c r="U43" s="11">
        <f t="shared" ref="U43" si="11">SUM(I43:T43)</f>
        <v>200000</v>
      </c>
      <c r="V43" s="11">
        <f t="shared" ref="V43" si="12">H43-U43</f>
        <v>0</v>
      </c>
    </row>
    <row r="44" spans="1:22" ht="25.5" x14ac:dyDescent="0.25">
      <c r="A44" s="2" t="s">
        <v>62</v>
      </c>
      <c r="B44" s="3" t="s">
        <v>63</v>
      </c>
      <c r="C44" s="11">
        <v>4700000</v>
      </c>
      <c r="D44" s="12"/>
      <c r="E44" s="13"/>
      <c r="F44" s="13"/>
      <c r="G44" s="14"/>
      <c r="H44" s="27">
        <f t="shared" si="4"/>
        <v>4700000</v>
      </c>
      <c r="I44" s="48">
        <v>325766</v>
      </c>
      <c r="J44" s="51">
        <v>289469</v>
      </c>
      <c r="K44" s="51"/>
      <c r="L44" s="51"/>
      <c r="M44" s="51"/>
      <c r="N44" s="51"/>
      <c r="O44" s="51"/>
      <c r="P44" s="51"/>
      <c r="Q44" s="51"/>
      <c r="R44" s="51">
        <v>405903</v>
      </c>
      <c r="S44" s="17">
        <f>3678862/2</f>
        <v>1839431</v>
      </c>
      <c r="T44" s="17">
        <f>3678862/2</f>
        <v>1839431</v>
      </c>
      <c r="U44" s="11">
        <f t="shared" si="7"/>
        <v>4700000</v>
      </c>
      <c r="V44" s="11">
        <f t="shared" si="8"/>
        <v>0</v>
      </c>
    </row>
    <row r="45" spans="1:22" ht="25.5" x14ac:dyDescent="0.25">
      <c r="A45" s="2" t="s">
        <v>85</v>
      </c>
      <c r="B45" s="3" t="s">
        <v>86</v>
      </c>
      <c r="C45" s="11">
        <v>0</v>
      </c>
      <c r="D45" s="12">
        <v>3000000</v>
      </c>
      <c r="E45" s="13"/>
      <c r="F45" s="13"/>
      <c r="G45" s="14"/>
      <c r="H45" s="27">
        <f t="shared" si="4"/>
        <v>3000000</v>
      </c>
      <c r="I45" s="48"/>
      <c r="J45" s="51">
        <v>79597</v>
      </c>
      <c r="K45" s="51">
        <v>278851</v>
      </c>
      <c r="L45" s="51">
        <v>475275</v>
      </c>
      <c r="M45" s="51">
        <v>388381</v>
      </c>
      <c r="N45" s="51">
        <v>387958</v>
      </c>
      <c r="O45" s="51">
        <v>387958</v>
      </c>
      <c r="P45" s="51">
        <v>395244</v>
      </c>
      <c r="Q45" s="51">
        <v>388481</v>
      </c>
      <c r="R45" s="51"/>
      <c r="S45" s="17">
        <f>218255/2</f>
        <v>109127.5</v>
      </c>
      <c r="T45" s="17">
        <f>218255/2</f>
        <v>109127.5</v>
      </c>
      <c r="U45" s="11">
        <f t="shared" si="7"/>
        <v>3000000</v>
      </c>
      <c r="V45" s="11">
        <f t="shared" si="8"/>
        <v>0</v>
      </c>
    </row>
    <row r="46" spans="1:22" ht="25.5" x14ac:dyDescent="0.25">
      <c r="A46" s="2" t="s">
        <v>64</v>
      </c>
      <c r="B46" s="3" t="s">
        <v>65</v>
      </c>
      <c r="C46" s="11">
        <v>1000</v>
      </c>
      <c r="D46" s="12"/>
      <c r="E46" s="13"/>
      <c r="F46" s="13"/>
      <c r="G46" s="14"/>
      <c r="H46" s="27">
        <f t="shared" si="4"/>
        <v>1000</v>
      </c>
      <c r="I46" s="48"/>
      <c r="J46" s="51"/>
      <c r="K46" s="51"/>
      <c r="L46" s="51"/>
      <c r="M46" s="51"/>
      <c r="N46" s="51"/>
      <c r="O46" s="51"/>
      <c r="P46" s="51"/>
      <c r="Q46" s="51"/>
      <c r="R46" s="51"/>
      <c r="S46" s="17">
        <v>500</v>
      </c>
      <c r="T46" s="17">
        <v>500</v>
      </c>
      <c r="U46" s="11">
        <f t="shared" si="7"/>
        <v>1000</v>
      </c>
      <c r="V46" s="11">
        <f t="shared" si="8"/>
        <v>0</v>
      </c>
    </row>
    <row r="47" spans="1:22" ht="25.5" x14ac:dyDescent="0.25">
      <c r="A47" s="2" t="s">
        <v>66</v>
      </c>
      <c r="B47" s="3" t="s">
        <v>67</v>
      </c>
      <c r="C47" s="11">
        <v>1000</v>
      </c>
      <c r="D47" s="12"/>
      <c r="E47" s="13"/>
      <c r="F47" s="13"/>
      <c r="G47" s="14"/>
      <c r="H47" s="27">
        <f t="shared" si="4"/>
        <v>1000</v>
      </c>
      <c r="I47" s="48"/>
      <c r="J47" s="51"/>
      <c r="K47" s="51"/>
      <c r="L47" s="51"/>
      <c r="M47" s="51"/>
      <c r="N47" s="51"/>
      <c r="O47" s="51"/>
      <c r="P47" s="51"/>
      <c r="Q47" s="51"/>
      <c r="R47" s="51"/>
      <c r="S47" s="17">
        <v>500</v>
      </c>
      <c r="T47" s="17">
        <v>500</v>
      </c>
      <c r="U47" s="11">
        <f t="shared" si="7"/>
        <v>1000</v>
      </c>
      <c r="V47" s="11">
        <f t="shared" si="8"/>
        <v>0</v>
      </c>
    </row>
    <row r="48" spans="1:22" ht="13.5" thickBot="1" x14ac:dyDescent="0.3">
      <c r="A48" s="6"/>
      <c r="B48" s="7"/>
      <c r="C48" s="19"/>
      <c r="D48" s="20"/>
      <c r="E48" s="21"/>
      <c r="F48" s="21"/>
      <c r="G48" s="22"/>
      <c r="H48" s="40"/>
      <c r="I48" s="34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4"/>
      <c r="U48" s="45"/>
      <c r="V48" s="19"/>
    </row>
    <row r="49" spans="1:22" ht="13.5" thickBot="1" x14ac:dyDescent="0.3">
      <c r="A49" s="75" t="s">
        <v>26</v>
      </c>
      <c r="B49" s="76"/>
      <c r="C49" s="23">
        <f t="shared" ref="C49:V49" si="13">SUM(C22:C48)</f>
        <v>103103000</v>
      </c>
      <c r="D49" s="24">
        <f t="shared" si="13"/>
        <v>39191527</v>
      </c>
      <c r="E49" s="25">
        <f t="shared" si="13"/>
        <v>1660000</v>
      </c>
      <c r="F49" s="25">
        <f t="shared" si="13"/>
        <v>20100000</v>
      </c>
      <c r="G49" s="26">
        <f t="shared" si="13"/>
        <v>20100000</v>
      </c>
      <c r="H49" s="23">
        <f>SUM(H22:H48)</f>
        <v>140634527</v>
      </c>
      <c r="I49" s="37">
        <f t="shared" si="13"/>
        <v>507146</v>
      </c>
      <c r="J49" s="38">
        <f t="shared" si="13"/>
        <v>475357</v>
      </c>
      <c r="K49" s="38">
        <f t="shared" si="13"/>
        <v>370124</v>
      </c>
      <c r="L49" s="38">
        <f t="shared" si="13"/>
        <v>7766548</v>
      </c>
      <c r="M49" s="38">
        <f t="shared" si="13"/>
        <v>1679654</v>
      </c>
      <c r="N49" s="38">
        <f t="shared" si="13"/>
        <v>5433231</v>
      </c>
      <c r="O49" s="38">
        <f t="shared" si="13"/>
        <v>479231</v>
      </c>
      <c r="P49" s="38">
        <f t="shared" si="13"/>
        <v>17600717</v>
      </c>
      <c r="Q49" s="38">
        <f t="shared" si="13"/>
        <v>484514</v>
      </c>
      <c r="R49" s="38">
        <f t="shared" si="13"/>
        <v>24267892</v>
      </c>
      <c r="S49" s="38">
        <f t="shared" si="13"/>
        <v>78898847.5</v>
      </c>
      <c r="T49" s="39">
        <f t="shared" si="13"/>
        <v>2671265.5</v>
      </c>
      <c r="U49" s="23">
        <f t="shared" si="13"/>
        <v>140634527</v>
      </c>
      <c r="V49" s="23">
        <f t="shared" si="13"/>
        <v>0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9:B49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2" orientation="landscape" r:id="rId1"/>
  <headerFooter>
    <oddFooter>&amp;L&amp;F&amp;C&amp;A&amp;R&amp;P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opLeftCell="A4" zoomScaleNormal="100" workbookViewId="0">
      <selection activeCell="A4" sqref="A1:XFD1048576"/>
    </sheetView>
  </sheetViews>
  <sheetFormatPr baseColWidth="10" defaultColWidth="11.42578125" defaultRowHeight="12.75" x14ac:dyDescent="0.25"/>
  <cols>
    <col min="1" max="1" width="11.7109375" style="1" customWidth="1"/>
    <col min="2" max="2" width="23.710937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.7109375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10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63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50"/>
      <c r="P8" s="50">
        <v>330000</v>
      </c>
      <c r="Q8" s="50"/>
      <c r="R8" s="50">
        <v>880000</v>
      </c>
      <c r="S8" s="50"/>
      <c r="T8" s="41"/>
      <c r="U8" s="42">
        <f>SUM(I8:T8)</f>
        <v>5351000</v>
      </c>
      <c r="V8" s="11">
        <f>H8-U8</f>
        <v>-1351000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51">
        <v>133000</v>
      </c>
      <c r="P9" s="51">
        <v>231000</v>
      </c>
      <c r="Q9" s="51">
        <v>168000</v>
      </c>
      <c r="R9" s="51">
        <v>269000</v>
      </c>
      <c r="S9" s="51">
        <v>280000</v>
      </c>
      <c r="T9" s="17">
        <v>207000</v>
      </c>
      <c r="U9" s="15">
        <f t="shared" ref="U9:U16" si="1">SUM(I9:T9)</f>
        <v>3000000</v>
      </c>
      <c r="V9" s="15">
        <f t="shared" ref="V9:V16" si="2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51"/>
      <c r="P10" s="51"/>
      <c r="Q10" s="51"/>
      <c r="R10" s="51"/>
      <c r="S10" s="51"/>
      <c r="T10" s="43"/>
      <c r="U10" s="15">
        <f t="shared" si="1"/>
        <v>88979426</v>
      </c>
      <c r="V10" s="15">
        <f t="shared" si="2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51"/>
      <c r="P11" s="51"/>
      <c r="Q11" s="51"/>
      <c r="R11" s="51"/>
      <c r="S11" s="51"/>
      <c r="T11" s="43"/>
      <c r="U11" s="15">
        <f t="shared" si="1"/>
        <v>32340000</v>
      </c>
      <c r="V11" s="15">
        <f t="shared" si="2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51">
        <v>706.24</v>
      </c>
      <c r="P12" s="51">
        <v>668</v>
      </c>
      <c r="Q12" s="51">
        <v>610</v>
      </c>
      <c r="R12" s="51">
        <v>506.32</v>
      </c>
      <c r="S12" s="51">
        <v>463.8</v>
      </c>
      <c r="T12" s="17">
        <v>94251</v>
      </c>
      <c r="U12" s="15">
        <f t="shared" si="1"/>
        <v>99999.95</v>
      </c>
      <c r="V12" s="15">
        <f t="shared" si="2"/>
        <v>5.0000000002910383E-2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52"/>
      <c r="P13" s="52"/>
      <c r="Q13" s="52"/>
      <c r="R13" s="52"/>
      <c r="S13" s="52"/>
      <c r="T13" s="46">
        <v>1000</v>
      </c>
      <c r="U13" s="15">
        <f t="shared" si="1"/>
        <v>4374645</v>
      </c>
      <c r="V13" s="15">
        <f t="shared" si="2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52"/>
      <c r="P14" s="52"/>
      <c r="Q14" s="52"/>
      <c r="R14" s="52"/>
      <c r="S14" s="52"/>
      <c r="T14" s="46">
        <v>1000</v>
      </c>
      <c r="U14" s="15">
        <f t="shared" si="1"/>
        <v>959084</v>
      </c>
      <c r="V14" s="15">
        <f t="shared" si="2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52"/>
      <c r="P15" s="52"/>
      <c r="Q15" s="52"/>
      <c r="R15" s="52"/>
      <c r="S15" s="52"/>
      <c r="T15" s="46">
        <v>1000</v>
      </c>
      <c r="U15" s="15">
        <f t="shared" si="1"/>
        <v>6881372</v>
      </c>
      <c r="V15" s="15">
        <f t="shared" si="2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1"/>
        <v>0</v>
      </c>
      <c r="V16" s="15">
        <f t="shared" si="2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3">SUM(H8:H16)</f>
        <v>140634527</v>
      </c>
      <c r="I17" s="37">
        <f t="shared" si="3"/>
        <v>682459</v>
      </c>
      <c r="J17" s="38">
        <f t="shared" si="3"/>
        <v>13561514</v>
      </c>
      <c r="K17" s="38">
        <f t="shared" si="3"/>
        <v>299075.48</v>
      </c>
      <c r="L17" s="38">
        <f t="shared" si="3"/>
        <v>89300827.400000006</v>
      </c>
      <c r="M17" s="38">
        <f t="shared" si="3"/>
        <v>33740745.18</v>
      </c>
      <c r="N17" s="38">
        <f t="shared" si="3"/>
        <v>1802700.53</v>
      </c>
      <c r="O17" s="38">
        <f t="shared" si="3"/>
        <v>133706.23999999999</v>
      </c>
      <c r="P17" s="38">
        <f t="shared" si="3"/>
        <v>561668</v>
      </c>
      <c r="Q17" s="38">
        <f t="shared" si="3"/>
        <v>168610</v>
      </c>
      <c r="R17" s="38">
        <f t="shared" si="3"/>
        <v>1149506.32</v>
      </c>
      <c r="S17" s="38">
        <f t="shared" si="3"/>
        <v>280463.8</v>
      </c>
      <c r="T17" s="39">
        <f t="shared" si="3"/>
        <v>304251</v>
      </c>
      <c r="U17" s="23">
        <f t="shared" si="3"/>
        <v>141985526.94999999</v>
      </c>
      <c r="V17" s="23">
        <f t="shared" si="3"/>
        <v>-1350999.95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89</v>
      </c>
      <c r="B22" s="3" t="s">
        <v>90</v>
      </c>
      <c r="C22" s="11">
        <v>0</v>
      </c>
      <c r="D22" s="12">
        <v>7000000</v>
      </c>
      <c r="E22" s="13"/>
      <c r="F22" s="13"/>
      <c r="G22" s="14">
        <v>7000000</v>
      </c>
      <c r="H22" s="27">
        <f>C22+D22-E22+F22-G22</f>
        <v>0</v>
      </c>
      <c r="I22" s="47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41">
        <v>0</v>
      </c>
      <c r="U22" s="42">
        <f>SUM(I22:T22)</f>
        <v>0</v>
      </c>
      <c r="V22" s="11">
        <f>H22-U22</f>
        <v>0</v>
      </c>
    </row>
    <row r="23" spans="1:22" ht="25.5" x14ac:dyDescent="0.25">
      <c r="A23" s="2" t="s">
        <v>77</v>
      </c>
      <c r="B23" s="3" t="s">
        <v>78</v>
      </c>
      <c r="C23" s="11">
        <v>9700000</v>
      </c>
      <c r="D23" s="12"/>
      <c r="E23" s="13"/>
      <c r="F23" s="13"/>
      <c r="G23" s="14">
        <v>9700000</v>
      </c>
      <c r="H23" s="27">
        <f t="shared" ref="H23:H47" si="4">C23+D23-E23+F23-G23</f>
        <v>0</v>
      </c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>
        <v>0</v>
      </c>
      <c r="U23" s="11">
        <f t="shared" ref="U23:U47" si="5">SUM(I23:T23)</f>
        <v>0</v>
      </c>
      <c r="V23" s="11">
        <f t="shared" ref="V23:V47" si="6">H23-U23</f>
        <v>0</v>
      </c>
    </row>
    <row r="24" spans="1:22" ht="25.5" x14ac:dyDescent="0.25">
      <c r="A24" s="2" t="s">
        <v>91</v>
      </c>
      <c r="B24" s="3" t="s">
        <v>92</v>
      </c>
      <c r="C24" s="11">
        <v>0</v>
      </c>
      <c r="D24" s="12"/>
      <c r="E24" s="13"/>
      <c r="F24" s="13">
        <v>7000000</v>
      </c>
      <c r="G24" s="14"/>
      <c r="H24" s="27">
        <f t="shared" si="4"/>
        <v>7000000</v>
      </c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>
        <v>7000000</v>
      </c>
      <c r="U24" s="11">
        <f t="shared" si="5"/>
        <v>7000000</v>
      </c>
      <c r="V24" s="11">
        <f t="shared" si="6"/>
        <v>0</v>
      </c>
    </row>
    <row r="25" spans="1:22" ht="25.5" x14ac:dyDescent="0.25">
      <c r="A25" s="2" t="s">
        <v>42</v>
      </c>
      <c r="B25" s="3" t="s">
        <v>43</v>
      </c>
      <c r="C25" s="11">
        <v>4400000</v>
      </c>
      <c r="D25" s="12"/>
      <c r="E25" s="13"/>
      <c r="F25" s="13">
        <v>3500000</v>
      </c>
      <c r="G25" s="14"/>
      <c r="H25" s="27">
        <f t="shared" si="4"/>
        <v>7900000</v>
      </c>
      <c r="I25" s="48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43">
        <v>7900000</v>
      </c>
      <c r="U25" s="11">
        <f t="shared" si="5"/>
        <v>7900000</v>
      </c>
      <c r="V25" s="11">
        <f t="shared" si="6"/>
        <v>0</v>
      </c>
    </row>
    <row r="26" spans="1:22" ht="25.5" x14ac:dyDescent="0.25">
      <c r="A26" s="2" t="s">
        <v>44</v>
      </c>
      <c r="B26" s="3" t="s">
        <v>45</v>
      </c>
      <c r="C26" s="11">
        <v>14100000</v>
      </c>
      <c r="D26" s="12"/>
      <c r="E26" s="13"/>
      <c r="F26" s="13"/>
      <c r="G26" s="14"/>
      <c r="H26" s="27">
        <f t="shared" si="4"/>
        <v>14100000</v>
      </c>
      <c r="I26" s="48"/>
      <c r="J26" s="51"/>
      <c r="K26" s="51"/>
      <c r="L26" s="51"/>
      <c r="M26" s="51"/>
      <c r="N26" s="51"/>
      <c r="O26" s="51"/>
      <c r="P26" s="51"/>
      <c r="Q26" s="51"/>
      <c r="R26" s="51">
        <v>13793100</v>
      </c>
      <c r="S26" s="51"/>
      <c r="T26" s="43">
        <v>306900</v>
      </c>
      <c r="U26" s="11">
        <f t="shared" si="5"/>
        <v>14100000</v>
      </c>
      <c r="V26" s="11">
        <f t="shared" si="6"/>
        <v>0</v>
      </c>
    </row>
    <row r="27" spans="1:22" ht="25.5" x14ac:dyDescent="0.25">
      <c r="A27" s="2" t="s">
        <v>93</v>
      </c>
      <c r="B27" s="3" t="s">
        <v>94</v>
      </c>
      <c r="C27" s="11">
        <v>0</v>
      </c>
      <c r="D27" s="12"/>
      <c r="E27" s="13"/>
      <c r="F27" s="13">
        <v>1400000</v>
      </c>
      <c r="G27" s="14"/>
      <c r="H27" s="27">
        <f t="shared" si="4"/>
        <v>1400000</v>
      </c>
      <c r="I27" s="48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3">
        <v>1400000</v>
      </c>
      <c r="U27" s="11">
        <f t="shared" si="5"/>
        <v>1400000</v>
      </c>
      <c r="V27" s="11">
        <f t="shared" si="6"/>
        <v>0</v>
      </c>
    </row>
    <row r="28" spans="1:22" ht="25.5" x14ac:dyDescent="0.25">
      <c r="A28" s="2" t="s">
        <v>46</v>
      </c>
      <c r="B28" s="3" t="s">
        <v>47</v>
      </c>
      <c r="C28" s="11">
        <v>1000</v>
      </c>
      <c r="D28" s="12"/>
      <c r="E28" s="13"/>
      <c r="F28" s="13"/>
      <c r="G28" s="14"/>
      <c r="H28" s="27">
        <f t="shared" si="4"/>
        <v>1000</v>
      </c>
      <c r="I28" s="48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43">
        <v>1000</v>
      </c>
      <c r="U28" s="11">
        <f t="shared" si="5"/>
        <v>1000</v>
      </c>
      <c r="V28" s="11">
        <f t="shared" si="6"/>
        <v>0</v>
      </c>
    </row>
    <row r="29" spans="1:22" ht="25.5" x14ac:dyDescent="0.25">
      <c r="A29" s="2" t="s">
        <v>48</v>
      </c>
      <c r="B29" s="3" t="s">
        <v>49</v>
      </c>
      <c r="C29" s="11">
        <v>14200000</v>
      </c>
      <c r="D29" s="12">
        <v>10000000</v>
      </c>
      <c r="E29" s="13"/>
      <c r="F29" s="13"/>
      <c r="G29" s="14"/>
      <c r="H29" s="27">
        <f t="shared" si="4"/>
        <v>24200000</v>
      </c>
      <c r="I29" s="48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43">
        <v>24200000</v>
      </c>
      <c r="U29" s="11">
        <f t="shared" si="5"/>
        <v>24200000</v>
      </c>
      <c r="V29" s="11">
        <f t="shared" si="6"/>
        <v>0</v>
      </c>
    </row>
    <row r="30" spans="1:22" ht="25.5" x14ac:dyDescent="0.25">
      <c r="A30" s="2" t="s">
        <v>50</v>
      </c>
      <c r="B30" s="3" t="s">
        <v>51</v>
      </c>
      <c r="C30" s="11">
        <v>11600000</v>
      </c>
      <c r="D30" s="12"/>
      <c r="E30" s="13">
        <v>1660000</v>
      </c>
      <c r="F30" s="13"/>
      <c r="G30" s="14"/>
      <c r="H30" s="27">
        <f t="shared" si="4"/>
        <v>9940000</v>
      </c>
      <c r="I30" s="48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43">
        <v>9940000</v>
      </c>
      <c r="U30" s="11">
        <f t="shared" si="5"/>
        <v>9940000</v>
      </c>
      <c r="V30" s="11">
        <f t="shared" si="6"/>
        <v>0</v>
      </c>
    </row>
    <row r="31" spans="1:22" ht="25.5" x14ac:dyDescent="0.25">
      <c r="A31" s="2" t="s">
        <v>70</v>
      </c>
      <c r="B31" s="3" t="s">
        <v>71</v>
      </c>
      <c r="C31" s="11">
        <v>0</v>
      </c>
      <c r="D31" s="12">
        <v>958084</v>
      </c>
      <c r="E31" s="13"/>
      <c r="F31" s="13"/>
      <c r="G31" s="14"/>
      <c r="H31" s="27">
        <f t="shared" si="4"/>
        <v>958084</v>
      </c>
      <c r="I31" s="48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43">
        <v>958084</v>
      </c>
      <c r="U31" s="11">
        <f t="shared" si="5"/>
        <v>958084</v>
      </c>
      <c r="V31" s="11">
        <f t="shared" si="6"/>
        <v>0</v>
      </c>
    </row>
    <row r="32" spans="1:22" ht="25.5" x14ac:dyDescent="0.25">
      <c r="A32" s="2" t="s">
        <v>72</v>
      </c>
      <c r="B32" s="3" t="s">
        <v>73</v>
      </c>
      <c r="C32" s="11">
        <v>0</v>
      </c>
      <c r="D32" s="12">
        <v>6880372</v>
      </c>
      <c r="E32" s="13"/>
      <c r="F32" s="13"/>
      <c r="G32" s="14"/>
      <c r="H32" s="27">
        <f t="shared" si="4"/>
        <v>6880372</v>
      </c>
      <c r="I32" s="48"/>
      <c r="J32" s="51"/>
      <c r="K32" s="51"/>
      <c r="L32" s="51"/>
      <c r="M32" s="51"/>
      <c r="N32" s="51"/>
      <c r="O32" s="51"/>
      <c r="P32" s="51"/>
      <c r="Q32" s="51"/>
      <c r="R32" s="51">
        <v>5170000</v>
      </c>
      <c r="S32" s="51"/>
      <c r="T32" s="43">
        <v>1710372</v>
      </c>
      <c r="U32" s="11">
        <f t="shared" si="5"/>
        <v>6880372</v>
      </c>
      <c r="V32" s="11">
        <f t="shared" si="6"/>
        <v>0</v>
      </c>
    </row>
    <row r="33" spans="1:22" ht="25.5" x14ac:dyDescent="0.25">
      <c r="A33" s="2" t="s">
        <v>52</v>
      </c>
      <c r="B33" s="3" t="s">
        <v>53</v>
      </c>
      <c r="C33" s="11">
        <v>1100000</v>
      </c>
      <c r="D33" s="12"/>
      <c r="E33" s="13"/>
      <c r="F33" s="13"/>
      <c r="G33" s="14"/>
      <c r="H33" s="27">
        <f t="shared" si="4"/>
        <v>1100000</v>
      </c>
      <c r="I33" s="48">
        <v>181380</v>
      </c>
      <c r="J33" s="51">
        <v>106291</v>
      </c>
      <c r="K33" s="51">
        <v>91273</v>
      </c>
      <c r="L33" s="51">
        <v>91273</v>
      </c>
      <c r="M33" s="51">
        <v>91273</v>
      </c>
      <c r="N33" s="51">
        <v>91273</v>
      </c>
      <c r="O33" s="51">
        <v>91273</v>
      </c>
      <c r="P33" s="51">
        <v>91273</v>
      </c>
      <c r="Q33" s="51">
        <v>96033</v>
      </c>
      <c r="R33" s="51">
        <v>98889</v>
      </c>
      <c r="S33" s="51"/>
      <c r="T33" s="17">
        <v>69769</v>
      </c>
      <c r="U33" s="11">
        <f t="shared" si="5"/>
        <v>1100000</v>
      </c>
      <c r="V33" s="11">
        <f t="shared" si="6"/>
        <v>0</v>
      </c>
    </row>
    <row r="34" spans="1:22" ht="25.5" x14ac:dyDescent="0.25">
      <c r="A34" s="2" t="s">
        <v>68</v>
      </c>
      <c r="B34" s="3" t="s">
        <v>69</v>
      </c>
      <c r="C34" s="11">
        <v>0</v>
      </c>
      <c r="D34" s="12">
        <v>1373645</v>
      </c>
      <c r="E34" s="13"/>
      <c r="F34" s="13"/>
      <c r="G34" s="14"/>
      <c r="H34" s="27">
        <f t="shared" si="4"/>
        <v>1373645</v>
      </c>
      <c r="I34" s="48"/>
      <c r="J34" s="51"/>
      <c r="K34" s="51"/>
      <c r="L34" s="51"/>
      <c r="M34" s="51"/>
      <c r="N34" s="51"/>
      <c r="O34" s="51"/>
      <c r="P34" s="51"/>
      <c r="Q34" s="51"/>
      <c r="R34" s="51"/>
      <c r="S34" s="51">
        <v>91273</v>
      </c>
      <c r="T34" s="17">
        <v>1282372</v>
      </c>
      <c r="U34" s="11">
        <f t="shared" si="5"/>
        <v>1373645</v>
      </c>
      <c r="V34" s="11">
        <f t="shared" si="6"/>
        <v>0</v>
      </c>
    </row>
    <row r="35" spans="1:22" ht="25.5" x14ac:dyDescent="0.25">
      <c r="A35" s="2" t="s">
        <v>54</v>
      </c>
      <c r="B35" s="3" t="s">
        <v>55</v>
      </c>
      <c r="C35" s="11">
        <v>5000000</v>
      </c>
      <c r="D35" s="12">
        <v>2000000</v>
      </c>
      <c r="E35" s="13"/>
      <c r="F35" s="13"/>
      <c r="G35" s="14"/>
      <c r="H35" s="27">
        <f t="shared" si="4"/>
        <v>7000000</v>
      </c>
      <c r="I35" s="48"/>
      <c r="J35" s="51"/>
      <c r="K35" s="51"/>
      <c r="L35" s="51"/>
      <c r="M35" s="51"/>
      <c r="N35" s="51"/>
      <c r="O35" s="51"/>
      <c r="P35" s="51">
        <v>4409200</v>
      </c>
      <c r="Q35" s="51"/>
      <c r="R35" s="51"/>
      <c r="S35" s="51"/>
      <c r="T35" s="43">
        <v>2590800</v>
      </c>
      <c r="U35" s="11">
        <f t="shared" si="5"/>
        <v>7000000</v>
      </c>
      <c r="V35" s="11">
        <f t="shared" si="6"/>
        <v>0</v>
      </c>
    </row>
    <row r="36" spans="1:22" ht="25.5" x14ac:dyDescent="0.25">
      <c r="A36" s="2" t="s">
        <v>56</v>
      </c>
      <c r="B36" s="3" t="s">
        <v>57</v>
      </c>
      <c r="C36" s="11">
        <v>24000000</v>
      </c>
      <c r="D36" s="12"/>
      <c r="E36" s="13"/>
      <c r="F36" s="13"/>
      <c r="G36" s="14"/>
      <c r="H36" s="27">
        <f t="shared" si="4"/>
        <v>24000000</v>
      </c>
      <c r="I36" s="48"/>
      <c r="J36" s="51"/>
      <c r="K36" s="51"/>
      <c r="L36" s="51">
        <v>7200000</v>
      </c>
      <c r="M36" s="51">
        <v>1200000</v>
      </c>
      <c r="N36" s="51">
        <v>3600000</v>
      </c>
      <c r="O36" s="51"/>
      <c r="P36" s="51">
        <v>4800000</v>
      </c>
      <c r="Q36" s="51"/>
      <c r="R36" s="51">
        <v>4800000</v>
      </c>
      <c r="S36" s="51"/>
      <c r="T36" s="43">
        <v>2400000</v>
      </c>
      <c r="U36" s="11">
        <f t="shared" si="5"/>
        <v>24000000</v>
      </c>
      <c r="V36" s="11">
        <f t="shared" si="6"/>
        <v>0</v>
      </c>
    </row>
    <row r="37" spans="1:22" ht="25.5" x14ac:dyDescent="0.25">
      <c r="A37" s="2" t="s">
        <v>58</v>
      </c>
      <c r="B37" s="3" t="s">
        <v>59</v>
      </c>
      <c r="C37" s="11">
        <v>4300000</v>
      </c>
      <c r="D37" s="12"/>
      <c r="E37" s="13"/>
      <c r="F37" s="13"/>
      <c r="G37" s="14">
        <v>3400000</v>
      </c>
      <c r="H37" s="27">
        <f t="shared" si="4"/>
        <v>900000</v>
      </c>
      <c r="I37" s="48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43">
        <v>900000</v>
      </c>
      <c r="U37" s="11">
        <f t="shared" si="5"/>
        <v>900000</v>
      </c>
      <c r="V37" s="11">
        <f t="shared" si="6"/>
        <v>0</v>
      </c>
    </row>
    <row r="38" spans="1:22" ht="25.5" x14ac:dyDescent="0.25">
      <c r="A38" s="2" t="s">
        <v>79</v>
      </c>
      <c r="B38" s="3" t="s">
        <v>80</v>
      </c>
      <c r="C38" s="11">
        <v>3200000</v>
      </c>
      <c r="D38" s="12"/>
      <c r="E38" s="13"/>
      <c r="F38" s="13"/>
      <c r="G38" s="14"/>
      <c r="H38" s="27">
        <f t="shared" si="4"/>
        <v>3200000</v>
      </c>
      <c r="I38" s="48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43">
        <v>3200000</v>
      </c>
      <c r="U38" s="11">
        <f t="shared" si="5"/>
        <v>3200000</v>
      </c>
      <c r="V38" s="11">
        <f t="shared" si="6"/>
        <v>0</v>
      </c>
    </row>
    <row r="39" spans="1:22" ht="25.5" x14ac:dyDescent="0.25">
      <c r="A39" s="2" t="s">
        <v>88</v>
      </c>
      <c r="B39" s="3" t="s">
        <v>87</v>
      </c>
      <c r="C39" s="11">
        <v>0</v>
      </c>
      <c r="D39" s="12">
        <v>7979426</v>
      </c>
      <c r="E39" s="13"/>
      <c r="F39" s="13"/>
      <c r="G39" s="14"/>
      <c r="H39" s="27">
        <f t="shared" si="4"/>
        <v>7979426</v>
      </c>
      <c r="I39" s="48"/>
      <c r="J39" s="51"/>
      <c r="K39" s="51"/>
      <c r="L39" s="51"/>
      <c r="M39" s="51"/>
      <c r="N39" s="51">
        <v>1354000</v>
      </c>
      <c r="O39" s="51"/>
      <c r="P39" s="51"/>
      <c r="Q39" s="51"/>
      <c r="R39" s="51"/>
      <c r="S39" s="51"/>
      <c r="T39" s="43">
        <v>6625426</v>
      </c>
      <c r="U39" s="11">
        <f t="shared" si="5"/>
        <v>7979426</v>
      </c>
      <c r="V39" s="11">
        <f t="shared" si="6"/>
        <v>0</v>
      </c>
    </row>
    <row r="40" spans="1:22" ht="25.5" x14ac:dyDescent="0.25">
      <c r="A40" s="2" t="s">
        <v>81</v>
      </c>
      <c r="B40" s="3" t="s">
        <v>82</v>
      </c>
      <c r="C40" s="11">
        <v>4000000</v>
      </c>
      <c r="D40" s="12"/>
      <c r="E40" s="13"/>
      <c r="F40" s="13">
        <v>8000000</v>
      </c>
      <c r="G40" s="14"/>
      <c r="H40" s="27">
        <f t="shared" si="4"/>
        <v>12000000</v>
      </c>
      <c r="I40" s="48"/>
      <c r="J40" s="51"/>
      <c r="K40" s="51"/>
      <c r="L40" s="51"/>
      <c r="M40" s="51"/>
      <c r="N40" s="51"/>
      <c r="O40" s="51"/>
      <c r="P40" s="51">
        <v>7905000</v>
      </c>
      <c r="Q40" s="51"/>
      <c r="R40" s="51"/>
      <c r="S40" s="51"/>
      <c r="T40" s="43">
        <v>4095000</v>
      </c>
      <c r="U40" s="11">
        <f t="shared" si="5"/>
        <v>12000000</v>
      </c>
      <c r="V40" s="11">
        <f t="shared" si="6"/>
        <v>0</v>
      </c>
    </row>
    <row r="41" spans="1:22" ht="25.5" x14ac:dyDescent="0.25">
      <c r="A41" s="2" t="s">
        <v>83</v>
      </c>
      <c r="B41" s="3" t="s">
        <v>84</v>
      </c>
      <c r="C41" s="11">
        <v>100000</v>
      </c>
      <c r="D41" s="12"/>
      <c r="E41" s="13"/>
      <c r="F41" s="13"/>
      <c r="G41" s="14"/>
      <c r="H41" s="27">
        <f t="shared" si="4"/>
        <v>100000</v>
      </c>
      <c r="I41" s="48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43">
        <v>100000</v>
      </c>
      <c r="U41" s="11">
        <f t="shared" si="5"/>
        <v>100000</v>
      </c>
      <c r="V41" s="11">
        <f t="shared" si="6"/>
        <v>0</v>
      </c>
    </row>
    <row r="42" spans="1:22" ht="25.5" x14ac:dyDescent="0.25">
      <c r="A42" s="2" t="s">
        <v>60</v>
      </c>
      <c r="B42" s="3" t="s">
        <v>61</v>
      </c>
      <c r="C42" s="11">
        <v>2700000</v>
      </c>
      <c r="D42" s="12"/>
      <c r="E42" s="13"/>
      <c r="F42" s="13"/>
      <c r="G42" s="14"/>
      <c r="H42" s="27">
        <f t="shared" si="4"/>
        <v>2700000</v>
      </c>
      <c r="I42" s="48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43">
        <v>2700000</v>
      </c>
      <c r="U42" s="11">
        <f t="shared" si="5"/>
        <v>2700000</v>
      </c>
      <c r="V42" s="11">
        <f t="shared" si="6"/>
        <v>0</v>
      </c>
    </row>
    <row r="43" spans="1:22" ht="25.5" x14ac:dyDescent="0.25">
      <c r="A43" s="2" t="s">
        <v>95</v>
      </c>
      <c r="B43" s="3" t="s">
        <v>96</v>
      </c>
      <c r="C43" s="11">
        <v>0</v>
      </c>
      <c r="D43" s="12"/>
      <c r="E43" s="13"/>
      <c r="F43" s="13">
        <v>200000</v>
      </c>
      <c r="G43" s="14"/>
      <c r="H43" s="27">
        <f t="shared" si="4"/>
        <v>200000</v>
      </c>
      <c r="I43" s="48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43">
        <v>200000</v>
      </c>
      <c r="U43" s="11">
        <f t="shared" si="5"/>
        <v>200000</v>
      </c>
      <c r="V43" s="11">
        <f t="shared" si="6"/>
        <v>0</v>
      </c>
    </row>
    <row r="44" spans="1:22" ht="25.5" x14ac:dyDescent="0.25">
      <c r="A44" s="2" t="s">
        <v>62</v>
      </c>
      <c r="B44" s="3" t="s">
        <v>63</v>
      </c>
      <c r="C44" s="11">
        <v>4700000</v>
      </c>
      <c r="D44" s="12"/>
      <c r="E44" s="13"/>
      <c r="F44" s="13"/>
      <c r="G44" s="14"/>
      <c r="H44" s="27">
        <f t="shared" si="4"/>
        <v>4700000</v>
      </c>
      <c r="I44" s="48">
        <v>325766</v>
      </c>
      <c r="J44" s="51">
        <v>289469</v>
      </c>
      <c r="K44" s="51"/>
      <c r="L44" s="51"/>
      <c r="M44" s="51"/>
      <c r="N44" s="51"/>
      <c r="O44" s="51"/>
      <c r="P44" s="51"/>
      <c r="Q44" s="51"/>
      <c r="R44" s="51">
        <v>405903</v>
      </c>
      <c r="S44" s="51">
        <v>412247</v>
      </c>
      <c r="T44" s="17">
        <v>3266615</v>
      </c>
      <c r="U44" s="11">
        <f t="shared" si="5"/>
        <v>4700000</v>
      </c>
      <c r="V44" s="11">
        <f t="shared" si="6"/>
        <v>0</v>
      </c>
    </row>
    <row r="45" spans="1:22" ht="25.5" x14ac:dyDescent="0.25">
      <c r="A45" s="2" t="s">
        <v>85</v>
      </c>
      <c r="B45" s="3" t="s">
        <v>86</v>
      </c>
      <c r="C45" s="11">
        <v>0</v>
      </c>
      <c r="D45" s="12">
        <v>3000000</v>
      </c>
      <c r="E45" s="13"/>
      <c r="F45" s="13"/>
      <c r="G45" s="14"/>
      <c r="H45" s="27">
        <f t="shared" si="4"/>
        <v>3000000</v>
      </c>
      <c r="I45" s="48"/>
      <c r="J45" s="51">
        <v>79597</v>
      </c>
      <c r="K45" s="51">
        <v>278851</v>
      </c>
      <c r="L45" s="51">
        <v>475275</v>
      </c>
      <c r="M45" s="51">
        <v>388381</v>
      </c>
      <c r="N45" s="51">
        <v>387958</v>
      </c>
      <c r="O45" s="51">
        <v>387958</v>
      </c>
      <c r="P45" s="51">
        <v>395244</v>
      </c>
      <c r="Q45" s="51">
        <v>388481</v>
      </c>
      <c r="R45" s="51"/>
      <c r="S45" s="51"/>
      <c r="T45" s="17">
        <v>218255</v>
      </c>
      <c r="U45" s="11">
        <f t="shared" si="5"/>
        <v>3000000</v>
      </c>
      <c r="V45" s="11">
        <f t="shared" si="6"/>
        <v>0</v>
      </c>
    </row>
    <row r="46" spans="1:22" ht="25.5" x14ac:dyDescent="0.25">
      <c r="A46" s="2" t="s">
        <v>64</v>
      </c>
      <c r="B46" s="3" t="s">
        <v>65</v>
      </c>
      <c r="C46" s="11">
        <v>1000</v>
      </c>
      <c r="D46" s="12"/>
      <c r="E46" s="13"/>
      <c r="F46" s="13"/>
      <c r="G46" s="14"/>
      <c r="H46" s="27">
        <f t="shared" si="4"/>
        <v>1000</v>
      </c>
      <c r="I46" s="48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17">
        <v>1000</v>
      </c>
      <c r="U46" s="11">
        <f t="shared" si="5"/>
        <v>1000</v>
      </c>
      <c r="V46" s="11">
        <f t="shared" si="6"/>
        <v>0</v>
      </c>
    </row>
    <row r="47" spans="1:22" ht="25.5" x14ac:dyDescent="0.25">
      <c r="A47" s="2" t="s">
        <v>66</v>
      </c>
      <c r="B47" s="3" t="s">
        <v>67</v>
      </c>
      <c r="C47" s="11">
        <v>1000</v>
      </c>
      <c r="D47" s="12"/>
      <c r="E47" s="13"/>
      <c r="F47" s="13"/>
      <c r="G47" s="14"/>
      <c r="H47" s="27">
        <f t="shared" si="4"/>
        <v>1000</v>
      </c>
      <c r="I47" s="48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17">
        <v>1000</v>
      </c>
      <c r="U47" s="11">
        <f t="shared" si="5"/>
        <v>1000</v>
      </c>
      <c r="V47" s="11">
        <f t="shared" si="6"/>
        <v>0</v>
      </c>
    </row>
    <row r="48" spans="1:22" ht="13.5" thickBot="1" x14ac:dyDescent="0.3">
      <c r="A48" s="6"/>
      <c r="B48" s="7"/>
      <c r="C48" s="19"/>
      <c r="D48" s="20"/>
      <c r="E48" s="21"/>
      <c r="F48" s="21"/>
      <c r="G48" s="22"/>
      <c r="H48" s="40"/>
      <c r="I48" s="34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4"/>
      <c r="U48" s="45"/>
      <c r="V48" s="19"/>
    </row>
    <row r="49" spans="1:22" ht="13.5" thickBot="1" x14ac:dyDescent="0.3">
      <c r="A49" s="75" t="s">
        <v>26</v>
      </c>
      <c r="B49" s="76"/>
      <c r="C49" s="23">
        <f t="shared" ref="C49:V49" si="7">SUM(C22:C48)</f>
        <v>103103000</v>
      </c>
      <c r="D49" s="24">
        <f t="shared" si="7"/>
        <v>39191527</v>
      </c>
      <c r="E49" s="25">
        <f t="shared" si="7"/>
        <v>1660000</v>
      </c>
      <c r="F49" s="25">
        <f t="shared" si="7"/>
        <v>20100000</v>
      </c>
      <c r="G49" s="26">
        <f t="shared" si="7"/>
        <v>20100000</v>
      </c>
      <c r="H49" s="23">
        <f>SUM(H22:H48)</f>
        <v>140634527</v>
      </c>
      <c r="I49" s="37">
        <f t="shared" si="7"/>
        <v>507146</v>
      </c>
      <c r="J49" s="38">
        <f t="shared" si="7"/>
        <v>475357</v>
      </c>
      <c r="K49" s="38">
        <f t="shared" si="7"/>
        <v>370124</v>
      </c>
      <c r="L49" s="38">
        <f t="shared" si="7"/>
        <v>7766548</v>
      </c>
      <c r="M49" s="38">
        <f t="shared" si="7"/>
        <v>1679654</v>
      </c>
      <c r="N49" s="38">
        <f t="shared" si="7"/>
        <v>5433231</v>
      </c>
      <c r="O49" s="38">
        <f t="shared" si="7"/>
        <v>479231</v>
      </c>
      <c r="P49" s="38">
        <f t="shared" si="7"/>
        <v>17600717</v>
      </c>
      <c r="Q49" s="38">
        <f t="shared" si="7"/>
        <v>484514</v>
      </c>
      <c r="R49" s="38">
        <f t="shared" si="7"/>
        <v>24267892</v>
      </c>
      <c r="S49" s="38">
        <f t="shared" si="7"/>
        <v>503520</v>
      </c>
      <c r="T49" s="39">
        <f t="shared" si="7"/>
        <v>81066593</v>
      </c>
      <c r="U49" s="23">
        <f t="shared" si="7"/>
        <v>140634527</v>
      </c>
      <c r="V49" s="23">
        <f t="shared" si="7"/>
        <v>0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9:B49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2" orientation="landscape" r:id="rId1"/>
  <headerFooter>
    <oddFooter>&amp;L&amp;F&amp;C&amp;A&amp;R&amp;P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topLeftCell="A4" zoomScaleNormal="100" workbookViewId="0">
      <selection activeCell="H25" sqref="H25"/>
    </sheetView>
  </sheetViews>
  <sheetFormatPr baseColWidth="10" defaultColWidth="11.42578125" defaultRowHeight="12.75" x14ac:dyDescent="0.25"/>
  <cols>
    <col min="1" max="1" width="11.7109375" style="1" customWidth="1"/>
    <col min="2" max="2" width="23.710937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.7109375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10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63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50"/>
      <c r="P8" s="50">
        <v>330000</v>
      </c>
      <c r="Q8" s="50"/>
      <c r="R8" s="50">
        <v>880000</v>
      </c>
      <c r="S8" s="50"/>
      <c r="T8" s="56">
        <v>880000</v>
      </c>
      <c r="U8" s="42">
        <f>SUM(I8:T8)</f>
        <v>6231000</v>
      </c>
      <c r="V8" s="11">
        <f>H8-U8</f>
        <v>-2231000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51">
        <v>133000</v>
      </c>
      <c r="P9" s="51">
        <v>231000</v>
      </c>
      <c r="Q9" s="51">
        <v>168000</v>
      </c>
      <c r="R9" s="51">
        <v>269000</v>
      </c>
      <c r="S9" s="51">
        <v>280000</v>
      </c>
      <c r="T9" s="51">
        <v>35000</v>
      </c>
      <c r="U9" s="15">
        <f t="shared" ref="U9:U16" si="1">SUM(I9:T9)</f>
        <v>2828000</v>
      </c>
      <c r="V9" s="15">
        <f t="shared" ref="V9:V16" si="2">H9-U9</f>
        <v>172000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51"/>
      <c r="P10" s="51"/>
      <c r="Q10" s="51"/>
      <c r="R10" s="51"/>
      <c r="S10" s="51"/>
      <c r="T10" s="57"/>
      <c r="U10" s="15">
        <f t="shared" si="1"/>
        <v>88979426</v>
      </c>
      <c r="V10" s="15">
        <f t="shared" si="2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51"/>
      <c r="P11" s="51"/>
      <c r="Q11" s="51"/>
      <c r="R11" s="51"/>
      <c r="S11" s="51"/>
      <c r="T11" s="57"/>
      <c r="U11" s="15">
        <f t="shared" si="1"/>
        <v>32340000</v>
      </c>
      <c r="V11" s="15">
        <f t="shared" si="2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51">
        <v>706.24</v>
      </c>
      <c r="P12" s="51">
        <v>668</v>
      </c>
      <c r="Q12" s="51">
        <v>610</v>
      </c>
      <c r="R12" s="51">
        <v>506.32</v>
      </c>
      <c r="S12" s="51">
        <v>463.8</v>
      </c>
      <c r="T12" s="51">
        <v>403</v>
      </c>
      <c r="U12" s="15">
        <f t="shared" si="1"/>
        <v>6151.95</v>
      </c>
      <c r="V12" s="15">
        <f t="shared" si="2"/>
        <v>93848.05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52"/>
      <c r="P13" s="52"/>
      <c r="Q13" s="52"/>
      <c r="R13" s="52"/>
      <c r="S13" s="52"/>
      <c r="T13" s="58"/>
      <c r="U13" s="15">
        <f t="shared" si="1"/>
        <v>4373645</v>
      </c>
      <c r="V13" s="15">
        <f t="shared" si="2"/>
        <v>1000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52"/>
      <c r="P14" s="52"/>
      <c r="Q14" s="52"/>
      <c r="R14" s="52"/>
      <c r="S14" s="52"/>
      <c r="T14" s="58"/>
      <c r="U14" s="15">
        <f t="shared" si="1"/>
        <v>958084</v>
      </c>
      <c r="V14" s="15">
        <f t="shared" si="2"/>
        <v>1000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52"/>
      <c r="P15" s="52"/>
      <c r="Q15" s="52"/>
      <c r="R15" s="52"/>
      <c r="S15" s="52"/>
      <c r="T15" s="58"/>
      <c r="U15" s="15">
        <f t="shared" si="1"/>
        <v>6880372</v>
      </c>
      <c r="V15" s="15">
        <f t="shared" si="2"/>
        <v>1000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1"/>
        <v>0</v>
      </c>
      <c r="V16" s="15">
        <f t="shared" si="2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3">SUM(H8:H16)</f>
        <v>140634527</v>
      </c>
      <c r="I17" s="37">
        <f t="shared" si="3"/>
        <v>682459</v>
      </c>
      <c r="J17" s="38">
        <f t="shared" si="3"/>
        <v>13561514</v>
      </c>
      <c r="K17" s="38">
        <f t="shared" si="3"/>
        <v>299075.48</v>
      </c>
      <c r="L17" s="38">
        <f t="shared" si="3"/>
        <v>89300827.400000006</v>
      </c>
      <c r="M17" s="38">
        <f t="shared" si="3"/>
        <v>33740745.18</v>
      </c>
      <c r="N17" s="38">
        <f t="shared" si="3"/>
        <v>1802700.53</v>
      </c>
      <c r="O17" s="38">
        <f t="shared" si="3"/>
        <v>133706.23999999999</v>
      </c>
      <c r="P17" s="38">
        <f t="shared" si="3"/>
        <v>561668</v>
      </c>
      <c r="Q17" s="38">
        <f t="shared" si="3"/>
        <v>168610</v>
      </c>
      <c r="R17" s="38">
        <f t="shared" si="3"/>
        <v>1149506.32</v>
      </c>
      <c r="S17" s="38">
        <f t="shared" si="3"/>
        <v>280463.8</v>
      </c>
      <c r="T17" s="39">
        <f t="shared" si="3"/>
        <v>915403</v>
      </c>
      <c r="U17" s="23">
        <f t="shared" si="3"/>
        <v>142596678.94999999</v>
      </c>
      <c r="V17" s="23">
        <f t="shared" si="3"/>
        <v>-1962151.95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89</v>
      </c>
      <c r="B22" s="3" t="s">
        <v>90</v>
      </c>
      <c r="C22" s="11">
        <v>0</v>
      </c>
      <c r="D22" s="12">
        <v>7000000</v>
      </c>
      <c r="E22" s="13"/>
      <c r="F22" s="13"/>
      <c r="G22" s="14">
        <v>7000000</v>
      </c>
      <c r="H22" s="27">
        <f>C22+D22-E22+F22-G22</f>
        <v>0</v>
      </c>
      <c r="I22" s="47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6"/>
      <c r="U22" s="42">
        <f>SUM(I22:T22)</f>
        <v>0</v>
      </c>
      <c r="V22" s="11">
        <f>H22-U22</f>
        <v>0</v>
      </c>
    </row>
    <row r="23" spans="1:22" ht="25.5" x14ac:dyDescent="0.25">
      <c r="A23" s="2" t="s">
        <v>77</v>
      </c>
      <c r="B23" s="3" t="s">
        <v>78</v>
      </c>
      <c r="C23" s="11">
        <v>9700000</v>
      </c>
      <c r="D23" s="12"/>
      <c r="E23" s="13"/>
      <c r="F23" s="13"/>
      <c r="G23" s="14">
        <v>9700000</v>
      </c>
      <c r="H23" s="27">
        <f t="shared" ref="H23:H47" si="4">C23+D23-E23+F23-G23</f>
        <v>0</v>
      </c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9"/>
      <c r="U23" s="11">
        <f t="shared" ref="U23:U47" si="5">SUM(I23:T23)</f>
        <v>0</v>
      </c>
      <c r="V23" s="11">
        <f t="shared" ref="V23:V47" si="6">H23-U23</f>
        <v>0</v>
      </c>
    </row>
    <row r="24" spans="1:22" ht="25.5" x14ac:dyDescent="0.25">
      <c r="A24" s="2" t="s">
        <v>91</v>
      </c>
      <c r="B24" s="3" t="s">
        <v>92</v>
      </c>
      <c r="C24" s="11">
        <v>0</v>
      </c>
      <c r="D24" s="12"/>
      <c r="E24" s="13"/>
      <c r="F24" s="13">
        <v>7000000</v>
      </c>
      <c r="G24" s="14"/>
      <c r="H24" s="27">
        <f t="shared" si="4"/>
        <v>7000000</v>
      </c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9">
        <v>7000000</v>
      </c>
      <c r="U24" s="11">
        <f t="shared" si="5"/>
        <v>7000000</v>
      </c>
      <c r="V24" s="11">
        <f t="shared" si="6"/>
        <v>0</v>
      </c>
    </row>
    <row r="25" spans="1:22" ht="25.5" x14ac:dyDescent="0.25">
      <c r="A25" s="2" t="s">
        <v>42</v>
      </c>
      <c r="B25" s="3" t="s">
        <v>43</v>
      </c>
      <c r="C25" s="11">
        <v>4400000</v>
      </c>
      <c r="D25" s="12"/>
      <c r="E25" s="13"/>
      <c r="F25" s="13">
        <v>3500000</v>
      </c>
      <c r="G25" s="14"/>
      <c r="H25" s="27">
        <f t="shared" si="4"/>
        <v>7900000</v>
      </c>
      <c r="I25" s="48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7">
        <v>7885000</v>
      </c>
      <c r="U25" s="11">
        <f t="shared" si="5"/>
        <v>7885000</v>
      </c>
      <c r="V25" s="11">
        <f t="shared" si="6"/>
        <v>15000</v>
      </c>
    </row>
    <row r="26" spans="1:22" ht="25.5" x14ac:dyDescent="0.25">
      <c r="A26" s="2" t="s">
        <v>44</v>
      </c>
      <c r="B26" s="3" t="s">
        <v>45</v>
      </c>
      <c r="C26" s="11">
        <v>14100000</v>
      </c>
      <c r="D26" s="12"/>
      <c r="E26" s="13"/>
      <c r="F26" s="13"/>
      <c r="G26" s="14"/>
      <c r="H26" s="27">
        <f t="shared" si="4"/>
        <v>14100000</v>
      </c>
      <c r="I26" s="48"/>
      <c r="J26" s="51"/>
      <c r="K26" s="51"/>
      <c r="L26" s="51"/>
      <c r="M26" s="51"/>
      <c r="N26" s="51"/>
      <c r="O26" s="51"/>
      <c r="P26" s="51"/>
      <c r="Q26" s="51"/>
      <c r="R26" s="51">
        <v>13793100</v>
      </c>
      <c r="S26" s="51"/>
      <c r="T26" s="57"/>
      <c r="U26" s="11">
        <f t="shared" si="5"/>
        <v>13793100</v>
      </c>
      <c r="V26" s="11">
        <f t="shared" si="6"/>
        <v>306900</v>
      </c>
    </row>
    <row r="27" spans="1:22" ht="25.5" x14ac:dyDescent="0.25">
      <c r="A27" s="2" t="s">
        <v>93</v>
      </c>
      <c r="B27" s="3" t="s">
        <v>94</v>
      </c>
      <c r="C27" s="11">
        <v>0</v>
      </c>
      <c r="D27" s="12"/>
      <c r="E27" s="13"/>
      <c r="F27" s="13">
        <v>1400000</v>
      </c>
      <c r="G27" s="14"/>
      <c r="H27" s="27">
        <f t="shared" si="4"/>
        <v>1400000</v>
      </c>
      <c r="I27" s="48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7">
        <v>1315000</v>
      </c>
      <c r="U27" s="11">
        <f t="shared" si="5"/>
        <v>1315000</v>
      </c>
      <c r="V27" s="11">
        <f t="shared" si="6"/>
        <v>85000</v>
      </c>
    </row>
    <row r="28" spans="1:22" ht="25.5" x14ac:dyDescent="0.25">
      <c r="A28" s="2" t="s">
        <v>46</v>
      </c>
      <c r="B28" s="3" t="s">
        <v>47</v>
      </c>
      <c r="C28" s="11">
        <v>1000</v>
      </c>
      <c r="D28" s="12"/>
      <c r="E28" s="13"/>
      <c r="F28" s="13"/>
      <c r="G28" s="14"/>
      <c r="H28" s="27">
        <f t="shared" si="4"/>
        <v>1000</v>
      </c>
      <c r="I28" s="48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7"/>
      <c r="U28" s="11">
        <f t="shared" si="5"/>
        <v>0</v>
      </c>
      <c r="V28" s="11">
        <f t="shared" si="6"/>
        <v>1000</v>
      </c>
    </row>
    <row r="29" spans="1:22" ht="25.5" x14ac:dyDescent="0.25">
      <c r="A29" s="2" t="s">
        <v>48</v>
      </c>
      <c r="B29" s="3" t="s">
        <v>49</v>
      </c>
      <c r="C29" s="11">
        <v>14200000</v>
      </c>
      <c r="D29" s="12">
        <v>10000000</v>
      </c>
      <c r="E29" s="13"/>
      <c r="F29" s="13"/>
      <c r="G29" s="14"/>
      <c r="H29" s="27">
        <f t="shared" si="4"/>
        <v>24200000</v>
      </c>
      <c r="I29" s="48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7">
        <v>24200000</v>
      </c>
      <c r="U29" s="11">
        <f t="shared" si="5"/>
        <v>24200000</v>
      </c>
      <c r="V29" s="11">
        <f t="shared" si="6"/>
        <v>0</v>
      </c>
    </row>
    <row r="30" spans="1:22" ht="25.5" x14ac:dyDescent="0.25">
      <c r="A30" s="2" t="s">
        <v>50</v>
      </c>
      <c r="B30" s="3" t="s">
        <v>51</v>
      </c>
      <c r="C30" s="11">
        <v>11600000</v>
      </c>
      <c r="D30" s="12"/>
      <c r="E30" s="13">
        <v>1660000</v>
      </c>
      <c r="F30" s="13"/>
      <c r="G30" s="14"/>
      <c r="H30" s="27">
        <f t="shared" si="4"/>
        <v>9940000</v>
      </c>
      <c r="I30" s="48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7">
        <v>1675685</v>
      </c>
      <c r="U30" s="11">
        <f t="shared" si="5"/>
        <v>1675685</v>
      </c>
      <c r="V30" s="11">
        <f t="shared" si="6"/>
        <v>8264315</v>
      </c>
    </row>
    <row r="31" spans="1:22" ht="25.5" x14ac:dyDescent="0.25">
      <c r="A31" s="2" t="s">
        <v>70</v>
      </c>
      <c r="B31" s="3" t="s">
        <v>71</v>
      </c>
      <c r="C31" s="11">
        <v>0</v>
      </c>
      <c r="D31" s="12">
        <v>958084</v>
      </c>
      <c r="E31" s="13"/>
      <c r="F31" s="13"/>
      <c r="G31" s="14"/>
      <c r="H31" s="27">
        <f t="shared" si="4"/>
        <v>958084</v>
      </c>
      <c r="I31" s="48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7">
        <v>958084</v>
      </c>
      <c r="U31" s="11">
        <f t="shared" si="5"/>
        <v>958084</v>
      </c>
      <c r="V31" s="11">
        <f t="shared" si="6"/>
        <v>0</v>
      </c>
    </row>
    <row r="32" spans="1:22" ht="25.5" x14ac:dyDescent="0.25">
      <c r="A32" s="2" t="s">
        <v>72</v>
      </c>
      <c r="B32" s="3" t="s">
        <v>73</v>
      </c>
      <c r="C32" s="11">
        <v>0</v>
      </c>
      <c r="D32" s="12">
        <v>6880372</v>
      </c>
      <c r="E32" s="13"/>
      <c r="F32" s="13"/>
      <c r="G32" s="14"/>
      <c r="H32" s="27">
        <f t="shared" si="4"/>
        <v>6880372</v>
      </c>
      <c r="I32" s="48"/>
      <c r="J32" s="51"/>
      <c r="K32" s="51"/>
      <c r="L32" s="51"/>
      <c r="M32" s="51"/>
      <c r="N32" s="51"/>
      <c r="O32" s="51"/>
      <c r="P32" s="51"/>
      <c r="Q32" s="51"/>
      <c r="R32" s="51">
        <v>5170000</v>
      </c>
      <c r="S32" s="51"/>
      <c r="T32" s="57">
        <v>1676916</v>
      </c>
      <c r="U32" s="11">
        <f t="shared" si="5"/>
        <v>6846916</v>
      </c>
      <c r="V32" s="11">
        <f t="shared" si="6"/>
        <v>33456</v>
      </c>
    </row>
    <row r="33" spans="1:22" ht="25.5" x14ac:dyDescent="0.25">
      <c r="A33" s="2" t="s">
        <v>52</v>
      </c>
      <c r="B33" s="3" t="s">
        <v>53</v>
      </c>
      <c r="C33" s="11">
        <v>1100000</v>
      </c>
      <c r="D33" s="12"/>
      <c r="E33" s="13"/>
      <c r="F33" s="13"/>
      <c r="G33" s="14"/>
      <c r="H33" s="27">
        <f t="shared" si="4"/>
        <v>1100000</v>
      </c>
      <c r="I33" s="48">
        <v>181380</v>
      </c>
      <c r="J33" s="51">
        <v>106291</v>
      </c>
      <c r="K33" s="51">
        <v>91273</v>
      </c>
      <c r="L33" s="51">
        <v>91273</v>
      </c>
      <c r="M33" s="51">
        <v>91273</v>
      </c>
      <c r="N33" s="51">
        <v>91273</v>
      </c>
      <c r="O33" s="51">
        <v>91273</v>
      </c>
      <c r="P33" s="51">
        <v>91273</v>
      </c>
      <c r="Q33" s="51">
        <v>96033</v>
      </c>
      <c r="R33" s="51">
        <v>98889</v>
      </c>
      <c r="S33" s="51"/>
      <c r="T33" s="51"/>
      <c r="U33" s="11">
        <f t="shared" si="5"/>
        <v>1030231</v>
      </c>
      <c r="V33" s="11">
        <f t="shared" si="6"/>
        <v>69769</v>
      </c>
    </row>
    <row r="34" spans="1:22" ht="25.5" x14ac:dyDescent="0.25">
      <c r="A34" s="2" t="s">
        <v>68</v>
      </c>
      <c r="B34" s="3" t="s">
        <v>69</v>
      </c>
      <c r="C34" s="11">
        <v>0</v>
      </c>
      <c r="D34" s="12">
        <v>1373645</v>
      </c>
      <c r="E34" s="13"/>
      <c r="F34" s="13"/>
      <c r="G34" s="14"/>
      <c r="H34" s="27">
        <f t="shared" si="4"/>
        <v>1373645</v>
      </c>
      <c r="I34" s="48"/>
      <c r="J34" s="51"/>
      <c r="K34" s="51"/>
      <c r="L34" s="51"/>
      <c r="M34" s="51"/>
      <c r="N34" s="51"/>
      <c r="O34" s="51"/>
      <c r="P34" s="51"/>
      <c r="Q34" s="51"/>
      <c r="R34" s="51"/>
      <c r="S34" s="51">
        <v>91273</v>
      </c>
      <c r="T34" s="51">
        <v>96033</v>
      </c>
      <c r="U34" s="11">
        <f t="shared" si="5"/>
        <v>187306</v>
      </c>
      <c r="V34" s="11">
        <f t="shared" si="6"/>
        <v>1186339</v>
      </c>
    </row>
    <row r="35" spans="1:22" ht="25.5" x14ac:dyDescent="0.25">
      <c r="A35" s="2" t="s">
        <v>54</v>
      </c>
      <c r="B35" s="3" t="s">
        <v>55</v>
      </c>
      <c r="C35" s="11">
        <v>5000000</v>
      </c>
      <c r="D35" s="12">
        <v>2000000</v>
      </c>
      <c r="E35" s="13"/>
      <c r="F35" s="13"/>
      <c r="G35" s="14"/>
      <c r="H35" s="27">
        <f t="shared" si="4"/>
        <v>7000000</v>
      </c>
      <c r="I35" s="48"/>
      <c r="J35" s="51"/>
      <c r="K35" s="51"/>
      <c r="L35" s="51"/>
      <c r="M35" s="51"/>
      <c r="N35" s="51"/>
      <c r="O35" s="51"/>
      <c r="P35" s="51">
        <v>4409200</v>
      </c>
      <c r="Q35" s="51"/>
      <c r="R35" s="51"/>
      <c r="S35" s="51"/>
      <c r="T35" s="57"/>
      <c r="U35" s="11">
        <f t="shared" si="5"/>
        <v>4409200</v>
      </c>
      <c r="V35" s="11">
        <f t="shared" si="6"/>
        <v>2590800</v>
      </c>
    </row>
    <row r="36" spans="1:22" ht="25.5" x14ac:dyDescent="0.25">
      <c r="A36" s="2" t="s">
        <v>56</v>
      </c>
      <c r="B36" s="3" t="s">
        <v>57</v>
      </c>
      <c r="C36" s="11">
        <v>24000000</v>
      </c>
      <c r="D36" s="12"/>
      <c r="E36" s="13"/>
      <c r="F36" s="13"/>
      <c r="G36" s="14"/>
      <c r="H36" s="27">
        <f t="shared" si="4"/>
        <v>24000000</v>
      </c>
      <c r="I36" s="48"/>
      <c r="J36" s="51"/>
      <c r="K36" s="51"/>
      <c r="L36" s="51">
        <v>7200000</v>
      </c>
      <c r="M36" s="51">
        <v>1200000</v>
      </c>
      <c r="N36" s="51">
        <v>3600000</v>
      </c>
      <c r="O36" s="51"/>
      <c r="P36" s="51">
        <v>4800000</v>
      </c>
      <c r="Q36" s="51"/>
      <c r="R36" s="51">
        <v>4800000</v>
      </c>
      <c r="S36" s="51"/>
      <c r="T36" s="57">
        <v>2400000</v>
      </c>
      <c r="U36" s="11">
        <f t="shared" si="5"/>
        <v>24000000</v>
      </c>
      <c r="V36" s="11">
        <f t="shared" si="6"/>
        <v>0</v>
      </c>
    </row>
    <row r="37" spans="1:22" ht="25.5" x14ac:dyDescent="0.25">
      <c r="A37" s="2" t="s">
        <v>58</v>
      </c>
      <c r="B37" s="3" t="s">
        <v>59</v>
      </c>
      <c r="C37" s="11">
        <v>4300000</v>
      </c>
      <c r="D37" s="12"/>
      <c r="E37" s="13"/>
      <c r="F37" s="13"/>
      <c r="G37" s="14">
        <v>3400000</v>
      </c>
      <c r="H37" s="27">
        <f t="shared" si="4"/>
        <v>900000</v>
      </c>
      <c r="I37" s="48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7"/>
      <c r="U37" s="11">
        <f t="shared" si="5"/>
        <v>0</v>
      </c>
      <c r="V37" s="11">
        <f t="shared" si="6"/>
        <v>900000</v>
      </c>
    </row>
    <row r="38" spans="1:22" ht="25.5" x14ac:dyDescent="0.25">
      <c r="A38" s="2" t="s">
        <v>79</v>
      </c>
      <c r="B38" s="3" t="s">
        <v>80</v>
      </c>
      <c r="C38" s="11">
        <v>3200000</v>
      </c>
      <c r="D38" s="12"/>
      <c r="E38" s="13"/>
      <c r="F38" s="13"/>
      <c r="G38" s="14"/>
      <c r="H38" s="27">
        <f t="shared" si="4"/>
        <v>3200000</v>
      </c>
      <c r="I38" s="48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7">
        <v>2209574</v>
      </c>
      <c r="U38" s="11">
        <f t="shared" si="5"/>
        <v>2209574</v>
      </c>
      <c r="V38" s="11">
        <f t="shared" si="6"/>
        <v>990426</v>
      </c>
    </row>
    <row r="39" spans="1:22" ht="25.5" x14ac:dyDescent="0.25">
      <c r="A39" s="2" t="s">
        <v>88</v>
      </c>
      <c r="B39" s="3" t="s">
        <v>87</v>
      </c>
      <c r="C39" s="11">
        <v>0</v>
      </c>
      <c r="D39" s="12">
        <v>7979426</v>
      </c>
      <c r="E39" s="13"/>
      <c r="F39" s="13"/>
      <c r="G39" s="14"/>
      <c r="H39" s="27">
        <f t="shared" si="4"/>
        <v>7979426</v>
      </c>
      <c r="I39" s="48"/>
      <c r="J39" s="51"/>
      <c r="K39" s="51"/>
      <c r="L39" s="51"/>
      <c r="M39" s="51"/>
      <c r="N39" s="51">
        <v>1354000</v>
      </c>
      <c r="O39" s="51"/>
      <c r="P39" s="51"/>
      <c r="Q39" s="51"/>
      <c r="R39" s="51"/>
      <c r="S39" s="51"/>
      <c r="T39" s="57">
        <v>6625426</v>
      </c>
      <c r="U39" s="11">
        <f t="shared" si="5"/>
        <v>7979426</v>
      </c>
      <c r="V39" s="11">
        <f t="shared" si="6"/>
        <v>0</v>
      </c>
    </row>
    <row r="40" spans="1:22" ht="25.5" x14ac:dyDescent="0.25">
      <c r="A40" s="2" t="s">
        <v>81</v>
      </c>
      <c r="B40" s="3" t="s">
        <v>82</v>
      </c>
      <c r="C40" s="11">
        <v>4000000</v>
      </c>
      <c r="D40" s="12"/>
      <c r="E40" s="13"/>
      <c r="F40" s="13">
        <v>8000000</v>
      </c>
      <c r="G40" s="14"/>
      <c r="H40" s="27">
        <f t="shared" si="4"/>
        <v>12000000</v>
      </c>
      <c r="I40" s="48"/>
      <c r="J40" s="51"/>
      <c r="K40" s="51"/>
      <c r="L40" s="51"/>
      <c r="M40" s="51"/>
      <c r="N40" s="51"/>
      <c r="O40" s="51"/>
      <c r="P40" s="51">
        <v>7905000</v>
      </c>
      <c r="Q40" s="51"/>
      <c r="R40" s="51"/>
      <c r="S40" s="51"/>
      <c r="T40" s="57">
        <v>2775000</v>
      </c>
      <c r="U40" s="11">
        <f t="shared" si="5"/>
        <v>10680000</v>
      </c>
      <c r="V40" s="11">
        <f t="shared" si="6"/>
        <v>1320000</v>
      </c>
    </row>
    <row r="41" spans="1:22" ht="25.5" x14ac:dyDescent="0.25">
      <c r="A41" s="2" t="s">
        <v>83</v>
      </c>
      <c r="B41" s="3" t="s">
        <v>84</v>
      </c>
      <c r="C41" s="11">
        <v>100000</v>
      </c>
      <c r="D41" s="12"/>
      <c r="E41" s="13"/>
      <c r="F41" s="13"/>
      <c r="G41" s="14"/>
      <c r="H41" s="27">
        <f t="shared" si="4"/>
        <v>100000</v>
      </c>
      <c r="I41" s="48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7"/>
      <c r="U41" s="11">
        <f t="shared" si="5"/>
        <v>0</v>
      </c>
      <c r="V41" s="11">
        <f t="shared" si="6"/>
        <v>100000</v>
      </c>
    </row>
    <row r="42" spans="1:22" ht="25.5" x14ac:dyDescent="0.25">
      <c r="A42" s="2" t="s">
        <v>60</v>
      </c>
      <c r="B42" s="3" t="s">
        <v>61</v>
      </c>
      <c r="C42" s="11">
        <v>2700000</v>
      </c>
      <c r="D42" s="12"/>
      <c r="E42" s="13"/>
      <c r="F42" s="13"/>
      <c r="G42" s="14"/>
      <c r="H42" s="27">
        <f t="shared" si="4"/>
        <v>2700000</v>
      </c>
      <c r="I42" s="48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7">
        <v>2657500</v>
      </c>
      <c r="U42" s="11">
        <f t="shared" si="5"/>
        <v>2657500</v>
      </c>
      <c r="V42" s="11">
        <f t="shared" si="6"/>
        <v>42500</v>
      </c>
    </row>
    <row r="43" spans="1:22" ht="25.5" x14ac:dyDescent="0.25">
      <c r="A43" s="2" t="s">
        <v>95</v>
      </c>
      <c r="B43" s="3" t="s">
        <v>96</v>
      </c>
      <c r="C43" s="11">
        <v>0</v>
      </c>
      <c r="D43" s="12"/>
      <c r="E43" s="13"/>
      <c r="F43" s="13">
        <v>200000</v>
      </c>
      <c r="G43" s="14"/>
      <c r="H43" s="27">
        <f t="shared" si="4"/>
        <v>200000</v>
      </c>
      <c r="I43" s="48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7">
        <v>107500</v>
      </c>
      <c r="U43" s="11">
        <f t="shared" si="5"/>
        <v>107500</v>
      </c>
      <c r="V43" s="11">
        <f t="shared" si="6"/>
        <v>92500</v>
      </c>
    </row>
    <row r="44" spans="1:22" ht="25.5" x14ac:dyDescent="0.25">
      <c r="A44" s="2" t="s">
        <v>62</v>
      </c>
      <c r="B44" s="3" t="s">
        <v>63</v>
      </c>
      <c r="C44" s="11">
        <v>4700000</v>
      </c>
      <c r="D44" s="12"/>
      <c r="E44" s="13"/>
      <c r="F44" s="13"/>
      <c r="G44" s="14"/>
      <c r="H44" s="27">
        <f t="shared" si="4"/>
        <v>4700000</v>
      </c>
      <c r="I44" s="48">
        <v>325766</v>
      </c>
      <c r="J44" s="51">
        <v>289469</v>
      </c>
      <c r="K44" s="51"/>
      <c r="L44" s="51"/>
      <c r="M44" s="51"/>
      <c r="N44" s="51"/>
      <c r="O44" s="51"/>
      <c r="P44" s="51"/>
      <c r="Q44" s="51"/>
      <c r="R44" s="51">
        <v>405903</v>
      </c>
      <c r="S44" s="51">
        <v>412247</v>
      </c>
      <c r="T44" s="51">
        <v>404959</v>
      </c>
      <c r="U44" s="11">
        <f t="shared" si="5"/>
        <v>1838344</v>
      </c>
      <c r="V44" s="11">
        <f t="shared" si="6"/>
        <v>2861656</v>
      </c>
    </row>
    <row r="45" spans="1:22" ht="25.5" x14ac:dyDescent="0.25">
      <c r="A45" s="2" t="s">
        <v>85</v>
      </c>
      <c r="B45" s="3" t="s">
        <v>86</v>
      </c>
      <c r="C45" s="11">
        <v>0</v>
      </c>
      <c r="D45" s="12">
        <v>3000000</v>
      </c>
      <c r="E45" s="13"/>
      <c r="F45" s="13"/>
      <c r="G45" s="14"/>
      <c r="H45" s="27">
        <f t="shared" si="4"/>
        <v>3000000</v>
      </c>
      <c r="I45" s="48"/>
      <c r="J45" s="51">
        <v>79597</v>
      </c>
      <c r="K45" s="51">
        <v>278851</v>
      </c>
      <c r="L45" s="51">
        <v>475275</v>
      </c>
      <c r="M45" s="51">
        <v>388381</v>
      </c>
      <c r="N45" s="51">
        <v>387958</v>
      </c>
      <c r="O45" s="51">
        <v>387958</v>
      </c>
      <c r="P45" s="51">
        <v>395244</v>
      </c>
      <c r="Q45" s="51">
        <v>388481</v>
      </c>
      <c r="R45" s="51"/>
      <c r="S45" s="51"/>
      <c r="T45" s="51"/>
      <c r="U45" s="11">
        <f t="shared" si="5"/>
        <v>2781745</v>
      </c>
      <c r="V45" s="11">
        <f t="shared" si="6"/>
        <v>218255</v>
      </c>
    </row>
    <row r="46" spans="1:22" ht="25.5" x14ac:dyDescent="0.25">
      <c r="A46" s="2" t="s">
        <v>64</v>
      </c>
      <c r="B46" s="3" t="s">
        <v>65</v>
      </c>
      <c r="C46" s="11">
        <v>1000</v>
      </c>
      <c r="D46" s="12"/>
      <c r="E46" s="13"/>
      <c r="F46" s="13"/>
      <c r="G46" s="14"/>
      <c r="H46" s="27">
        <f t="shared" si="4"/>
        <v>1000</v>
      </c>
      <c r="I46" s="48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11">
        <f t="shared" si="5"/>
        <v>0</v>
      </c>
      <c r="V46" s="11">
        <f t="shared" si="6"/>
        <v>1000</v>
      </c>
    </row>
    <row r="47" spans="1:22" ht="25.5" x14ac:dyDescent="0.25">
      <c r="A47" s="2" t="s">
        <v>66</v>
      </c>
      <c r="B47" s="3" t="s">
        <v>67</v>
      </c>
      <c r="C47" s="11">
        <v>1000</v>
      </c>
      <c r="D47" s="12"/>
      <c r="E47" s="13"/>
      <c r="F47" s="13"/>
      <c r="G47" s="14"/>
      <c r="H47" s="27">
        <f t="shared" si="4"/>
        <v>1000</v>
      </c>
      <c r="I47" s="48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11">
        <f t="shared" si="5"/>
        <v>0</v>
      </c>
      <c r="V47" s="11">
        <f t="shared" si="6"/>
        <v>1000</v>
      </c>
    </row>
    <row r="48" spans="1:22" ht="13.5" thickBot="1" x14ac:dyDescent="0.3">
      <c r="A48" s="6"/>
      <c r="B48" s="7"/>
      <c r="C48" s="19"/>
      <c r="D48" s="20"/>
      <c r="E48" s="21"/>
      <c r="F48" s="21"/>
      <c r="G48" s="22"/>
      <c r="H48" s="40"/>
      <c r="I48" s="34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4"/>
      <c r="U48" s="45"/>
      <c r="V48" s="19"/>
    </row>
    <row r="49" spans="1:22" ht="13.5" thickBot="1" x14ac:dyDescent="0.3">
      <c r="A49" s="75" t="s">
        <v>26</v>
      </c>
      <c r="B49" s="76"/>
      <c r="C49" s="23">
        <f t="shared" ref="C49:V49" si="7">SUM(C22:C48)</f>
        <v>103103000</v>
      </c>
      <c r="D49" s="24">
        <f t="shared" si="7"/>
        <v>39191527</v>
      </c>
      <c r="E49" s="25">
        <f t="shared" si="7"/>
        <v>1660000</v>
      </c>
      <c r="F49" s="25">
        <f t="shared" si="7"/>
        <v>20100000</v>
      </c>
      <c r="G49" s="26">
        <f t="shared" si="7"/>
        <v>20100000</v>
      </c>
      <c r="H49" s="23">
        <f>SUM(H22:H48)</f>
        <v>140634527</v>
      </c>
      <c r="I49" s="37">
        <f t="shared" si="7"/>
        <v>507146</v>
      </c>
      <c r="J49" s="38">
        <f t="shared" si="7"/>
        <v>475357</v>
      </c>
      <c r="K49" s="38">
        <f t="shared" si="7"/>
        <v>370124</v>
      </c>
      <c r="L49" s="38">
        <f t="shared" si="7"/>
        <v>7766548</v>
      </c>
      <c r="M49" s="38">
        <f t="shared" si="7"/>
        <v>1679654</v>
      </c>
      <c r="N49" s="38">
        <f t="shared" si="7"/>
        <v>5433231</v>
      </c>
      <c r="O49" s="38">
        <f t="shared" si="7"/>
        <v>479231</v>
      </c>
      <c r="P49" s="38">
        <f t="shared" si="7"/>
        <v>17600717</v>
      </c>
      <c r="Q49" s="38">
        <f t="shared" si="7"/>
        <v>484514</v>
      </c>
      <c r="R49" s="38">
        <f t="shared" si="7"/>
        <v>24267892</v>
      </c>
      <c r="S49" s="38">
        <f t="shared" si="7"/>
        <v>503520</v>
      </c>
      <c r="T49" s="39">
        <f t="shared" si="7"/>
        <v>61986677</v>
      </c>
      <c r="U49" s="23">
        <f t="shared" si="7"/>
        <v>121554611</v>
      </c>
      <c r="V49" s="23">
        <f t="shared" si="7"/>
        <v>19079916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9:B49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2" orientation="landscape" r:id="rId1"/>
  <headerFooter>
    <oddFooter>&amp;L&amp;F&amp;C&amp;A&amp;R&amp;P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A22" zoomScaleNormal="100" workbookViewId="0">
      <selection sqref="A1:XFD1048576"/>
    </sheetView>
  </sheetViews>
  <sheetFormatPr baseColWidth="10" defaultColWidth="11.42578125" defaultRowHeight="12.75" x14ac:dyDescent="0.25"/>
  <cols>
    <col min="1" max="1" width="8.7109375" style="1" customWidth="1"/>
    <col min="2" max="2" width="14.7109375" style="1" customWidth="1"/>
    <col min="3" max="3" width="11.7109375" style="1" customWidth="1"/>
    <col min="4" max="7" width="3.85546875" style="1" customWidth="1"/>
    <col min="8" max="8" width="11.7109375" style="1" customWidth="1"/>
    <col min="9" max="9" width="8.7109375" style="1" customWidth="1"/>
    <col min="10" max="10" width="10.7109375" style="1" customWidth="1"/>
    <col min="11" max="13" width="9.7109375" style="1" customWidth="1"/>
    <col min="14" max="14" width="9.85546875" style="1" customWidth="1"/>
    <col min="15" max="19" width="10.7109375" style="1" customWidth="1"/>
    <col min="20" max="20" width="8.7109375" style="1" customWidth="1"/>
    <col min="21" max="21" width="11.7109375" style="1" customWidth="1"/>
    <col min="22" max="22" width="3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114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29">
        <f>4000000/10</f>
        <v>400000</v>
      </c>
      <c r="K8" s="29">
        <f t="shared" ref="K8:S8" si="0">4000000/10</f>
        <v>400000</v>
      </c>
      <c r="L8" s="29">
        <f t="shared" si="0"/>
        <v>400000</v>
      </c>
      <c r="M8" s="29">
        <f t="shared" si="0"/>
        <v>400000</v>
      </c>
      <c r="N8" s="29">
        <f t="shared" si="0"/>
        <v>400000</v>
      </c>
      <c r="O8" s="29">
        <f t="shared" si="0"/>
        <v>400000</v>
      </c>
      <c r="P8" s="29">
        <f t="shared" si="0"/>
        <v>400000</v>
      </c>
      <c r="Q8" s="29">
        <f t="shared" si="0"/>
        <v>400000</v>
      </c>
      <c r="R8" s="29">
        <f t="shared" si="0"/>
        <v>400000</v>
      </c>
      <c r="S8" s="29">
        <f t="shared" si="0"/>
        <v>400000</v>
      </c>
      <c r="T8" s="41"/>
      <c r="U8" s="42">
        <f>SUM(I8:T8)</f>
        <v>4000000</v>
      </c>
      <c r="V8" s="11">
        <f>H8-U8</f>
        <v>0</v>
      </c>
    </row>
    <row r="9" spans="1:22" ht="51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1">C9+D9-F9</f>
        <v>3000000</v>
      </c>
      <c r="I9" s="48">
        <v>682000</v>
      </c>
      <c r="J9" s="17">
        <f>2318000/11</f>
        <v>210727.27272727274</v>
      </c>
      <c r="K9" s="17">
        <f t="shared" ref="K9:T9" si="2">2318000/11</f>
        <v>210727.27272727274</v>
      </c>
      <c r="L9" s="17">
        <f t="shared" si="2"/>
        <v>210727.27272727274</v>
      </c>
      <c r="M9" s="17">
        <f t="shared" si="2"/>
        <v>210727.27272727274</v>
      </c>
      <c r="N9" s="17">
        <f t="shared" si="2"/>
        <v>210727.27272727274</v>
      </c>
      <c r="O9" s="17">
        <f t="shared" si="2"/>
        <v>210727.27272727274</v>
      </c>
      <c r="P9" s="17">
        <f t="shared" si="2"/>
        <v>210727.27272727274</v>
      </c>
      <c r="Q9" s="17">
        <f t="shared" si="2"/>
        <v>210727.27272727274</v>
      </c>
      <c r="R9" s="17">
        <f t="shared" si="2"/>
        <v>210727.27272727274</v>
      </c>
      <c r="S9" s="17">
        <f t="shared" si="2"/>
        <v>210727.27272727274</v>
      </c>
      <c r="T9" s="43">
        <f t="shared" si="2"/>
        <v>210727.27272727274</v>
      </c>
      <c r="U9" s="15">
        <f t="shared" ref="U9:U16" si="3">SUM(I9:T9)</f>
        <v>3000000.0000000009</v>
      </c>
      <c r="V9" s="15">
        <f t="shared" ref="V9:V16" si="4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/>
      <c r="E10" s="84"/>
      <c r="F10" s="84"/>
      <c r="G10" s="85"/>
      <c r="H10" s="32">
        <f t="shared" si="1"/>
        <v>62000000</v>
      </c>
      <c r="I10" s="48"/>
      <c r="J10" s="17">
        <v>62000000</v>
      </c>
      <c r="K10" s="17"/>
      <c r="L10" s="17"/>
      <c r="M10" s="17"/>
      <c r="N10" s="17"/>
      <c r="O10" s="17"/>
      <c r="P10" s="17"/>
      <c r="Q10" s="17"/>
      <c r="R10" s="17"/>
      <c r="S10" s="17"/>
      <c r="T10" s="43"/>
      <c r="U10" s="15">
        <f t="shared" si="3"/>
        <v>62000000</v>
      </c>
      <c r="V10" s="15">
        <f t="shared" si="4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/>
      <c r="G11" s="85"/>
      <c r="H11" s="32">
        <f t="shared" si="1"/>
        <v>34000000</v>
      </c>
      <c r="I11" s="48"/>
      <c r="J11" s="17"/>
      <c r="K11" s="17"/>
      <c r="L11" s="17"/>
      <c r="M11" s="17"/>
      <c r="N11" s="17"/>
      <c r="O11" s="17">
        <v>34000000</v>
      </c>
      <c r="P11" s="17"/>
      <c r="Q11" s="17"/>
      <c r="R11" s="17"/>
      <c r="S11" s="17"/>
      <c r="T11" s="43"/>
      <c r="U11" s="15">
        <f t="shared" si="3"/>
        <v>34000000</v>
      </c>
      <c r="V11" s="15">
        <f t="shared" si="4"/>
        <v>0</v>
      </c>
    </row>
    <row r="12" spans="1:22" ht="25.5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1"/>
        <v>100000</v>
      </c>
      <c r="I12" s="48">
        <v>459</v>
      </c>
      <c r="J12" s="17">
        <f>99541/11</f>
        <v>9049.181818181818</v>
      </c>
      <c r="K12" s="17">
        <f t="shared" ref="K12:T12" si="5">99541/11</f>
        <v>9049.181818181818</v>
      </c>
      <c r="L12" s="17">
        <f t="shared" si="5"/>
        <v>9049.181818181818</v>
      </c>
      <c r="M12" s="17">
        <f t="shared" si="5"/>
        <v>9049.181818181818</v>
      </c>
      <c r="N12" s="17">
        <f t="shared" si="5"/>
        <v>9049.181818181818</v>
      </c>
      <c r="O12" s="17">
        <f t="shared" si="5"/>
        <v>9049.181818181818</v>
      </c>
      <c r="P12" s="17">
        <f t="shared" si="5"/>
        <v>9049.181818181818</v>
      </c>
      <c r="Q12" s="17">
        <f t="shared" si="5"/>
        <v>9049.181818181818</v>
      </c>
      <c r="R12" s="17">
        <f t="shared" si="5"/>
        <v>9049.181818181818</v>
      </c>
      <c r="S12" s="17">
        <f t="shared" si="5"/>
        <v>9049.181818181818</v>
      </c>
      <c r="T12" s="17">
        <f t="shared" si="5"/>
        <v>9049.181818181818</v>
      </c>
      <c r="U12" s="15">
        <f t="shared" si="3"/>
        <v>100000.00000000001</v>
      </c>
      <c r="V12" s="15">
        <f t="shared" si="4"/>
        <v>0</v>
      </c>
    </row>
    <row r="13" spans="1:22" ht="25.5" x14ac:dyDescent="0.25">
      <c r="A13" s="6" t="s">
        <v>36</v>
      </c>
      <c r="B13" s="7" t="s">
        <v>37</v>
      </c>
      <c r="C13" s="19">
        <v>1000</v>
      </c>
      <c r="D13" s="88"/>
      <c r="E13" s="84"/>
      <c r="F13" s="84"/>
      <c r="G13" s="85"/>
      <c r="H13" s="32">
        <f t="shared" si="1"/>
        <v>1000</v>
      </c>
      <c r="I13" s="49"/>
      <c r="J13" s="21">
        <v>1000</v>
      </c>
      <c r="K13" s="21"/>
      <c r="L13" s="21"/>
      <c r="M13" s="21"/>
      <c r="N13" s="21"/>
      <c r="O13" s="21"/>
      <c r="P13" s="21"/>
      <c r="Q13" s="21"/>
      <c r="R13" s="21"/>
      <c r="S13" s="21"/>
      <c r="T13" s="46"/>
      <c r="U13" s="15">
        <f t="shared" si="3"/>
        <v>1000</v>
      </c>
      <c r="V13" s="15">
        <f t="shared" si="4"/>
        <v>0</v>
      </c>
    </row>
    <row r="14" spans="1:22" ht="25.5" x14ac:dyDescent="0.25">
      <c r="A14" s="6" t="s">
        <v>38</v>
      </c>
      <c r="B14" s="7" t="s">
        <v>39</v>
      </c>
      <c r="C14" s="19">
        <v>1000</v>
      </c>
      <c r="D14" s="88"/>
      <c r="E14" s="84"/>
      <c r="F14" s="84"/>
      <c r="G14" s="85"/>
      <c r="H14" s="32">
        <f t="shared" si="1"/>
        <v>1000</v>
      </c>
      <c r="I14" s="49"/>
      <c r="J14" s="21">
        <v>1000</v>
      </c>
      <c r="K14" s="21"/>
      <c r="L14" s="21"/>
      <c r="M14" s="21"/>
      <c r="N14" s="21"/>
      <c r="O14" s="21"/>
      <c r="P14" s="21"/>
      <c r="Q14" s="21"/>
      <c r="R14" s="21"/>
      <c r="S14" s="21"/>
      <c r="T14" s="46"/>
      <c r="U14" s="15">
        <f t="shared" si="3"/>
        <v>1000</v>
      </c>
      <c r="V14" s="15">
        <f t="shared" si="4"/>
        <v>0</v>
      </c>
    </row>
    <row r="15" spans="1:22" ht="25.5" x14ac:dyDescent="0.25">
      <c r="A15" s="6" t="s">
        <v>40</v>
      </c>
      <c r="B15" s="7" t="s">
        <v>41</v>
      </c>
      <c r="C15" s="19">
        <v>1000</v>
      </c>
      <c r="D15" s="88"/>
      <c r="E15" s="84"/>
      <c r="F15" s="84"/>
      <c r="G15" s="85"/>
      <c r="H15" s="32">
        <f t="shared" si="1"/>
        <v>1000</v>
      </c>
      <c r="I15" s="49"/>
      <c r="J15" s="21">
        <v>1000</v>
      </c>
      <c r="K15" s="21"/>
      <c r="L15" s="21"/>
      <c r="M15" s="21"/>
      <c r="N15" s="21"/>
      <c r="O15" s="21"/>
      <c r="P15" s="21"/>
      <c r="Q15" s="21"/>
      <c r="R15" s="21"/>
      <c r="S15" s="21"/>
      <c r="T15" s="46"/>
      <c r="U15" s="15">
        <f t="shared" si="3"/>
        <v>1000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3"/>
        <v>0</v>
      </c>
      <c r="V16" s="15">
        <f t="shared" si="4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0</v>
      </c>
      <c r="E17" s="81"/>
      <c r="F17" s="80">
        <f>SUM(F8:G16)</f>
        <v>0</v>
      </c>
      <c r="G17" s="81"/>
      <c r="H17" s="23">
        <f t="shared" ref="H17:V17" si="6">SUM(H8:H16)</f>
        <v>103103000</v>
      </c>
      <c r="I17" s="37">
        <f t="shared" si="6"/>
        <v>682459</v>
      </c>
      <c r="J17" s="38">
        <f t="shared" si="6"/>
        <v>62622776.454545453</v>
      </c>
      <c r="K17" s="38">
        <f t="shared" si="6"/>
        <v>619776.45454545447</v>
      </c>
      <c r="L17" s="38">
        <f t="shared" si="6"/>
        <v>619776.45454545447</v>
      </c>
      <c r="M17" s="38">
        <f t="shared" si="6"/>
        <v>619776.45454545447</v>
      </c>
      <c r="N17" s="38">
        <f t="shared" si="6"/>
        <v>619776.45454545447</v>
      </c>
      <c r="O17" s="38">
        <f t="shared" si="6"/>
        <v>34619776.454545453</v>
      </c>
      <c r="P17" s="38">
        <f t="shared" si="6"/>
        <v>619776.45454545447</v>
      </c>
      <c r="Q17" s="38">
        <f t="shared" si="6"/>
        <v>619776.45454545447</v>
      </c>
      <c r="R17" s="38">
        <f t="shared" si="6"/>
        <v>619776.45454545447</v>
      </c>
      <c r="S17" s="38">
        <f t="shared" si="6"/>
        <v>619776.45454545447</v>
      </c>
      <c r="T17" s="39">
        <f t="shared" si="6"/>
        <v>219776.45454545456</v>
      </c>
      <c r="U17" s="23">
        <f t="shared" si="6"/>
        <v>103103000</v>
      </c>
      <c r="V17" s="23">
        <f t="shared" si="6"/>
        <v>0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90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38.25" x14ac:dyDescent="0.25">
      <c r="A22" s="2" t="s">
        <v>77</v>
      </c>
      <c r="B22" s="3" t="s">
        <v>78</v>
      </c>
      <c r="C22" s="11">
        <v>9700000</v>
      </c>
      <c r="D22" s="12"/>
      <c r="E22" s="13"/>
      <c r="F22" s="13"/>
      <c r="G22" s="14"/>
      <c r="H22" s="27">
        <f>C22+D22-E22+F22-G22</f>
        <v>9700000</v>
      </c>
      <c r="I22" s="47"/>
      <c r="J22" s="29"/>
      <c r="K22" s="29"/>
      <c r="L22" s="29"/>
      <c r="M22" s="29"/>
      <c r="N22" s="29"/>
      <c r="O22" s="29">
        <f>9700000/5</f>
        <v>1940000</v>
      </c>
      <c r="P22" s="29">
        <f t="shared" ref="P22:S22" si="7">9700000/5</f>
        <v>1940000</v>
      </c>
      <c r="Q22" s="29">
        <f t="shared" si="7"/>
        <v>1940000</v>
      </c>
      <c r="R22" s="29">
        <f t="shared" si="7"/>
        <v>1940000</v>
      </c>
      <c r="S22" s="29">
        <f t="shared" si="7"/>
        <v>1940000</v>
      </c>
      <c r="T22" s="41"/>
      <c r="U22" s="42">
        <f>SUM(I22:T22)</f>
        <v>9700000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38" si="8">C23+D23-E23+F23-G23</f>
        <v>4400000</v>
      </c>
      <c r="I23" s="48"/>
      <c r="J23" s="17"/>
      <c r="K23" s="17"/>
      <c r="L23" s="17"/>
      <c r="M23" s="17"/>
      <c r="N23" s="17"/>
      <c r="O23" s="17">
        <f>4400000/5</f>
        <v>880000</v>
      </c>
      <c r="P23" s="17">
        <f t="shared" ref="P23:S23" si="9">4400000/5</f>
        <v>880000</v>
      </c>
      <c r="Q23" s="17">
        <f t="shared" si="9"/>
        <v>880000</v>
      </c>
      <c r="R23" s="17">
        <f t="shared" si="9"/>
        <v>880000</v>
      </c>
      <c r="S23" s="17">
        <f t="shared" si="9"/>
        <v>880000</v>
      </c>
      <c r="T23" s="43"/>
      <c r="U23" s="11">
        <f t="shared" ref="U23:U38" si="10">SUM(I23:T23)</f>
        <v>4400000</v>
      </c>
      <c r="V23" s="11">
        <f t="shared" ref="V23:V38" si="11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8"/>
        <v>14100000</v>
      </c>
      <c r="I24" s="48"/>
      <c r="J24" s="17">
        <f>14100000/10</f>
        <v>1410000</v>
      </c>
      <c r="K24" s="17">
        <f t="shared" ref="K24:S24" si="12">14100000/10</f>
        <v>1410000</v>
      </c>
      <c r="L24" s="17">
        <f t="shared" si="12"/>
        <v>1410000</v>
      </c>
      <c r="M24" s="17">
        <f t="shared" si="12"/>
        <v>1410000</v>
      </c>
      <c r="N24" s="17">
        <f t="shared" si="12"/>
        <v>1410000</v>
      </c>
      <c r="O24" s="17">
        <f t="shared" si="12"/>
        <v>1410000</v>
      </c>
      <c r="P24" s="17">
        <f t="shared" si="12"/>
        <v>1410000</v>
      </c>
      <c r="Q24" s="17">
        <f t="shared" si="12"/>
        <v>1410000</v>
      </c>
      <c r="R24" s="17">
        <f t="shared" si="12"/>
        <v>1410000</v>
      </c>
      <c r="S24" s="17">
        <f t="shared" si="12"/>
        <v>1410000</v>
      </c>
      <c r="T24" s="43"/>
      <c r="U24" s="11">
        <f t="shared" si="10"/>
        <v>14100000</v>
      </c>
      <c r="V24" s="11">
        <f t="shared" si="11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8"/>
        <v>1000</v>
      </c>
      <c r="I25" s="48"/>
      <c r="J25" s="17">
        <f>1000/10</f>
        <v>100</v>
      </c>
      <c r="K25" s="17">
        <f t="shared" ref="K25:S25" si="13">1000/10</f>
        <v>100</v>
      </c>
      <c r="L25" s="17">
        <f t="shared" si="13"/>
        <v>100</v>
      </c>
      <c r="M25" s="17">
        <f t="shared" si="13"/>
        <v>100</v>
      </c>
      <c r="N25" s="17">
        <f t="shared" si="13"/>
        <v>100</v>
      </c>
      <c r="O25" s="17">
        <f t="shared" si="13"/>
        <v>100</v>
      </c>
      <c r="P25" s="17">
        <f t="shared" si="13"/>
        <v>100</v>
      </c>
      <c r="Q25" s="17">
        <f t="shared" si="13"/>
        <v>100</v>
      </c>
      <c r="R25" s="17">
        <f t="shared" si="13"/>
        <v>100</v>
      </c>
      <c r="S25" s="17">
        <f t="shared" si="13"/>
        <v>100</v>
      </c>
      <c r="T25" s="43"/>
      <c r="U25" s="11">
        <f t="shared" si="10"/>
        <v>1000</v>
      </c>
      <c r="V25" s="11">
        <f t="shared" si="11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/>
      <c r="E26" s="13"/>
      <c r="F26" s="13"/>
      <c r="G26" s="14"/>
      <c r="H26" s="27">
        <f t="shared" si="8"/>
        <v>14200000</v>
      </c>
      <c r="I26" s="48"/>
      <c r="J26" s="17">
        <f>14200000/10</f>
        <v>1420000</v>
      </c>
      <c r="K26" s="17">
        <f t="shared" ref="K26:S26" si="14">14200000/10</f>
        <v>1420000</v>
      </c>
      <c r="L26" s="17">
        <f t="shared" si="14"/>
        <v>1420000</v>
      </c>
      <c r="M26" s="17">
        <f t="shared" si="14"/>
        <v>1420000</v>
      </c>
      <c r="N26" s="17">
        <f t="shared" si="14"/>
        <v>1420000</v>
      </c>
      <c r="O26" s="17">
        <f t="shared" si="14"/>
        <v>1420000</v>
      </c>
      <c r="P26" s="17">
        <f t="shared" si="14"/>
        <v>1420000</v>
      </c>
      <c r="Q26" s="17">
        <f t="shared" si="14"/>
        <v>1420000</v>
      </c>
      <c r="R26" s="17">
        <f t="shared" si="14"/>
        <v>1420000</v>
      </c>
      <c r="S26" s="17">
        <f t="shared" si="14"/>
        <v>1420000</v>
      </c>
      <c r="T26" s="43"/>
      <c r="U26" s="11">
        <f t="shared" si="10"/>
        <v>14200000</v>
      </c>
      <c r="V26" s="11">
        <f t="shared" si="11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/>
      <c r="F27" s="13"/>
      <c r="G27" s="14"/>
      <c r="H27" s="27">
        <f t="shared" si="8"/>
        <v>11600000</v>
      </c>
      <c r="I27" s="48"/>
      <c r="J27" s="17"/>
      <c r="K27" s="17"/>
      <c r="L27" s="17"/>
      <c r="M27" s="17"/>
      <c r="N27" s="17"/>
      <c r="O27" s="17">
        <f>11600000/5</f>
        <v>2320000</v>
      </c>
      <c r="P27" s="17">
        <f t="shared" ref="P27:S27" si="15">11600000/5</f>
        <v>2320000</v>
      </c>
      <c r="Q27" s="17">
        <f t="shared" si="15"/>
        <v>2320000</v>
      </c>
      <c r="R27" s="17">
        <f t="shared" si="15"/>
        <v>2320000</v>
      </c>
      <c r="S27" s="17">
        <f t="shared" si="15"/>
        <v>2320000</v>
      </c>
      <c r="T27" s="43"/>
      <c r="U27" s="11">
        <f t="shared" si="10"/>
        <v>11600000</v>
      </c>
      <c r="V27" s="11">
        <f t="shared" si="11"/>
        <v>0</v>
      </c>
    </row>
    <row r="28" spans="1:22" ht="25.5" x14ac:dyDescent="0.25">
      <c r="A28" s="2" t="s">
        <v>52</v>
      </c>
      <c r="B28" s="3" t="s">
        <v>53</v>
      </c>
      <c r="C28" s="11">
        <v>1100000</v>
      </c>
      <c r="D28" s="12"/>
      <c r="E28" s="13"/>
      <c r="F28" s="13"/>
      <c r="G28" s="14"/>
      <c r="H28" s="27">
        <f t="shared" si="8"/>
        <v>1100000</v>
      </c>
      <c r="I28" s="48">
        <v>181380</v>
      </c>
      <c r="J28" s="17">
        <f>918620/11</f>
        <v>83510.909090909088</v>
      </c>
      <c r="K28" s="17">
        <f t="shared" ref="K28:T28" si="16">918620/11</f>
        <v>83510.909090909088</v>
      </c>
      <c r="L28" s="17">
        <f t="shared" si="16"/>
        <v>83510.909090909088</v>
      </c>
      <c r="M28" s="17">
        <f t="shared" si="16"/>
        <v>83510.909090909088</v>
      </c>
      <c r="N28" s="17">
        <f t="shared" si="16"/>
        <v>83510.909090909088</v>
      </c>
      <c r="O28" s="17">
        <f t="shared" si="16"/>
        <v>83510.909090909088</v>
      </c>
      <c r="P28" s="17">
        <f t="shared" si="16"/>
        <v>83510.909090909088</v>
      </c>
      <c r="Q28" s="17">
        <f t="shared" si="16"/>
        <v>83510.909090909088</v>
      </c>
      <c r="R28" s="17">
        <f t="shared" si="16"/>
        <v>83510.909090909088</v>
      </c>
      <c r="S28" s="17">
        <f t="shared" si="16"/>
        <v>83510.909090909088</v>
      </c>
      <c r="T28" s="17">
        <f t="shared" si="16"/>
        <v>83510.909090909088</v>
      </c>
      <c r="U28" s="11">
        <f t="shared" si="10"/>
        <v>1099999.9999999998</v>
      </c>
      <c r="V28" s="11">
        <f t="shared" si="11"/>
        <v>0</v>
      </c>
    </row>
    <row r="29" spans="1:22" ht="25.5" x14ac:dyDescent="0.25">
      <c r="A29" s="2" t="s">
        <v>54</v>
      </c>
      <c r="B29" s="3" t="s">
        <v>55</v>
      </c>
      <c r="C29" s="11">
        <v>5000000</v>
      </c>
      <c r="D29" s="12"/>
      <c r="E29" s="13"/>
      <c r="F29" s="13"/>
      <c r="G29" s="14"/>
      <c r="H29" s="27">
        <f t="shared" si="8"/>
        <v>5000000</v>
      </c>
      <c r="I29" s="48"/>
      <c r="J29" s="17">
        <f>5000000/10</f>
        <v>500000</v>
      </c>
      <c r="K29" s="17">
        <f t="shared" ref="K29:S29" si="17">5000000/10</f>
        <v>500000</v>
      </c>
      <c r="L29" s="17">
        <f t="shared" si="17"/>
        <v>500000</v>
      </c>
      <c r="M29" s="17">
        <f t="shared" si="17"/>
        <v>500000</v>
      </c>
      <c r="N29" s="17">
        <f t="shared" si="17"/>
        <v>500000</v>
      </c>
      <c r="O29" s="17">
        <f t="shared" si="17"/>
        <v>500000</v>
      </c>
      <c r="P29" s="17">
        <f t="shared" si="17"/>
        <v>500000</v>
      </c>
      <c r="Q29" s="17">
        <f t="shared" si="17"/>
        <v>500000</v>
      </c>
      <c r="R29" s="17">
        <f t="shared" si="17"/>
        <v>500000</v>
      </c>
      <c r="S29" s="17">
        <f t="shared" si="17"/>
        <v>500000</v>
      </c>
      <c r="T29" s="43"/>
      <c r="U29" s="11">
        <f t="shared" si="10"/>
        <v>5000000</v>
      </c>
      <c r="V29" s="11">
        <f t="shared" si="11"/>
        <v>0</v>
      </c>
    </row>
    <row r="30" spans="1:22" ht="25.5" x14ac:dyDescent="0.25">
      <c r="A30" s="2" t="s">
        <v>56</v>
      </c>
      <c r="B30" s="3" t="s">
        <v>57</v>
      </c>
      <c r="C30" s="11">
        <v>24000000</v>
      </c>
      <c r="D30" s="12"/>
      <c r="E30" s="13"/>
      <c r="F30" s="13"/>
      <c r="G30" s="14"/>
      <c r="H30" s="27">
        <f t="shared" si="8"/>
        <v>24000000</v>
      </c>
      <c r="I30" s="48"/>
      <c r="J30" s="17">
        <f>24000000/10</f>
        <v>2400000</v>
      </c>
      <c r="K30" s="17">
        <f t="shared" ref="K30:S30" si="18">24000000/10</f>
        <v>2400000</v>
      </c>
      <c r="L30" s="17">
        <f t="shared" si="18"/>
        <v>2400000</v>
      </c>
      <c r="M30" s="17">
        <f t="shared" si="18"/>
        <v>2400000</v>
      </c>
      <c r="N30" s="17">
        <f t="shared" si="18"/>
        <v>2400000</v>
      </c>
      <c r="O30" s="17">
        <f t="shared" si="18"/>
        <v>2400000</v>
      </c>
      <c r="P30" s="17">
        <f t="shared" si="18"/>
        <v>2400000</v>
      </c>
      <c r="Q30" s="17">
        <f t="shared" si="18"/>
        <v>2400000</v>
      </c>
      <c r="R30" s="17">
        <f t="shared" si="18"/>
        <v>2400000</v>
      </c>
      <c r="S30" s="17">
        <f t="shared" si="18"/>
        <v>2400000</v>
      </c>
      <c r="T30" s="43"/>
      <c r="U30" s="11">
        <f t="shared" si="10"/>
        <v>24000000</v>
      </c>
      <c r="V30" s="11">
        <f t="shared" si="11"/>
        <v>0</v>
      </c>
    </row>
    <row r="31" spans="1:22" ht="25.5" x14ac:dyDescent="0.25">
      <c r="A31" s="2" t="s">
        <v>58</v>
      </c>
      <c r="B31" s="3" t="s">
        <v>59</v>
      </c>
      <c r="C31" s="11">
        <v>4300000</v>
      </c>
      <c r="D31" s="12"/>
      <c r="E31" s="13"/>
      <c r="F31" s="13"/>
      <c r="G31" s="14"/>
      <c r="H31" s="27">
        <f t="shared" si="8"/>
        <v>4300000</v>
      </c>
      <c r="I31" s="48"/>
      <c r="J31" s="17"/>
      <c r="K31" s="17"/>
      <c r="L31" s="17"/>
      <c r="M31" s="17"/>
      <c r="N31" s="17"/>
      <c r="O31" s="17">
        <f>4300000/5</f>
        <v>860000</v>
      </c>
      <c r="P31" s="17">
        <f t="shared" ref="P31:S31" si="19">4300000/5</f>
        <v>860000</v>
      </c>
      <c r="Q31" s="17">
        <f t="shared" si="19"/>
        <v>860000</v>
      </c>
      <c r="R31" s="17">
        <f t="shared" si="19"/>
        <v>860000</v>
      </c>
      <c r="S31" s="17">
        <f t="shared" si="19"/>
        <v>860000</v>
      </c>
      <c r="T31" s="43"/>
      <c r="U31" s="11">
        <f t="shared" si="10"/>
        <v>4300000</v>
      </c>
      <c r="V31" s="11">
        <f t="shared" si="11"/>
        <v>0</v>
      </c>
    </row>
    <row r="32" spans="1:22" ht="25.5" x14ac:dyDescent="0.25">
      <c r="A32" s="2" t="s">
        <v>79</v>
      </c>
      <c r="B32" s="3" t="s">
        <v>80</v>
      </c>
      <c r="C32" s="11">
        <v>3200000</v>
      </c>
      <c r="D32" s="12"/>
      <c r="E32" s="13"/>
      <c r="F32" s="13"/>
      <c r="G32" s="14"/>
      <c r="H32" s="27">
        <f t="shared" si="8"/>
        <v>3200000</v>
      </c>
      <c r="I32" s="48"/>
      <c r="J32" s="17">
        <f>3200000/10</f>
        <v>320000</v>
      </c>
      <c r="K32" s="17">
        <f t="shared" ref="K32:S32" si="20">3200000/10</f>
        <v>320000</v>
      </c>
      <c r="L32" s="17">
        <f t="shared" si="20"/>
        <v>320000</v>
      </c>
      <c r="M32" s="17">
        <f t="shared" si="20"/>
        <v>320000</v>
      </c>
      <c r="N32" s="17">
        <f t="shared" si="20"/>
        <v>320000</v>
      </c>
      <c r="O32" s="17">
        <f t="shared" si="20"/>
        <v>320000</v>
      </c>
      <c r="P32" s="17">
        <f t="shared" si="20"/>
        <v>320000</v>
      </c>
      <c r="Q32" s="17">
        <f t="shared" si="20"/>
        <v>320000</v>
      </c>
      <c r="R32" s="17">
        <f t="shared" si="20"/>
        <v>320000</v>
      </c>
      <c r="S32" s="17">
        <f t="shared" si="20"/>
        <v>320000</v>
      </c>
      <c r="T32" s="43"/>
      <c r="U32" s="11">
        <f t="shared" si="10"/>
        <v>3200000</v>
      </c>
      <c r="V32" s="11">
        <f t="shared" si="11"/>
        <v>0</v>
      </c>
    </row>
    <row r="33" spans="1:22" ht="25.5" x14ac:dyDescent="0.25">
      <c r="A33" s="2" t="s">
        <v>81</v>
      </c>
      <c r="B33" s="3" t="s">
        <v>82</v>
      </c>
      <c r="C33" s="11">
        <v>4000000</v>
      </c>
      <c r="D33" s="12"/>
      <c r="E33" s="13"/>
      <c r="F33" s="13"/>
      <c r="G33" s="14"/>
      <c r="H33" s="27">
        <f t="shared" si="8"/>
        <v>4000000</v>
      </c>
      <c r="I33" s="48"/>
      <c r="J33" s="17"/>
      <c r="K33" s="17"/>
      <c r="L33" s="17"/>
      <c r="M33" s="17"/>
      <c r="N33" s="17"/>
      <c r="O33" s="17">
        <f>4000000/5</f>
        <v>800000</v>
      </c>
      <c r="P33" s="17">
        <f t="shared" ref="P33:S33" si="21">4000000/5</f>
        <v>800000</v>
      </c>
      <c r="Q33" s="17">
        <f t="shared" si="21"/>
        <v>800000</v>
      </c>
      <c r="R33" s="17">
        <f t="shared" si="21"/>
        <v>800000</v>
      </c>
      <c r="S33" s="17">
        <f t="shared" si="21"/>
        <v>800000</v>
      </c>
      <c r="T33" s="43"/>
      <c r="U33" s="11">
        <f t="shared" si="10"/>
        <v>4000000</v>
      </c>
      <c r="V33" s="11">
        <f t="shared" si="11"/>
        <v>0</v>
      </c>
    </row>
    <row r="34" spans="1:22" ht="25.5" x14ac:dyDescent="0.25">
      <c r="A34" s="2" t="s">
        <v>83</v>
      </c>
      <c r="B34" s="3" t="s">
        <v>84</v>
      </c>
      <c r="C34" s="11">
        <v>100000</v>
      </c>
      <c r="D34" s="12"/>
      <c r="E34" s="13"/>
      <c r="F34" s="13"/>
      <c r="G34" s="14"/>
      <c r="H34" s="27">
        <f t="shared" si="8"/>
        <v>100000</v>
      </c>
      <c r="I34" s="48"/>
      <c r="J34" s="17">
        <f>100000/10</f>
        <v>10000</v>
      </c>
      <c r="K34" s="17">
        <f t="shared" ref="K34:S34" si="22">100000/10</f>
        <v>10000</v>
      </c>
      <c r="L34" s="17">
        <f t="shared" si="22"/>
        <v>10000</v>
      </c>
      <c r="M34" s="17">
        <f t="shared" si="22"/>
        <v>10000</v>
      </c>
      <c r="N34" s="17">
        <f t="shared" si="22"/>
        <v>10000</v>
      </c>
      <c r="O34" s="17">
        <f t="shared" si="22"/>
        <v>10000</v>
      </c>
      <c r="P34" s="17">
        <f t="shared" si="22"/>
        <v>10000</v>
      </c>
      <c r="Q34" s="17">
        <f t="shared" si="22"/>
        <v>10000</v>
      </c>
      <c r="R34" s="17">
        <f t="shared" si="22"/>
        <v>10000</v>
      </c>
      <c r="S34" s="17">
        <f t="shared" si="22"/>
        <v>10000</v>
      </c>
      <c r="T34" s="43"/>
      <c r="U34" s="11">
        <f t="shared" si="10"/>
        <v>100000</v>
      </c>
      <c r="V34" s="11">
        <f t="shared" si="11"/>
        <v>0</v>
      </c>
    </row>
    <row r="35" spans="1:22" ht="38.25" x14ac:dyDescent="0.25">
      <c r="A35" s="2" t="s">
        <v>60</v>
      </c>
      <c r="B35" s="3" t="s">
        <v>61</v>
      </c>
      <c r="C35" s="11">
        <v>2700000</v>
      </c>
      <c r="D35" s="12"/>
      <c r="E35" s="13"/>
      <c r="F35" s="13"/>
      <c r="G35" s="14"/>
      <c r="H35" s="27">
        <f t="shared" si="8"/>
        <v>2700000</v>
      </c>
      <c r="I35" s="48"/>
      <c r="J35" s="17">
        <f>2700000/10</f>
        <v>270000</v>
      </c>
      <c r="K35" s="17">
        <f t="shared" ref="K35:S35" si="23">2700000/10</f>
        <v>270000</v>
      </c>
      <c r="L35" s="17">
        <f t="shared" si="23"/>
        <v>270000</v>
      </c>
      <c r="M35" s="17">
        <f t="shared" si="23"/>
        <v>270000</v>
      </c>
      <c r="N35" s="17">
        <f t="shared" si="23"/>
        <v>270000</v>
      </c>
      <c r="O35" s="17">
        <f t="shared" si="23"/>
        <v>270000</v>
      </c>
      <c r="P35" s="17">
        <f t="shared" si="23"/>
        <v>270000</v>
      </c>
      <c r="Q35" s="17">
        <f t="shared" si="23"/>
        <v>270000</v>
      </c>
      <c r="R35" s="17">
        <f t="shared" si="23"/>
        <v>270000</v>
      </c>
      <c r="S35" s="17">
        <f t="shared" si="23"/>
        <v>270000</v>
      </c>
      <c r="T35" s="43"/>
      <c r="U35" s="11">
        <f t="shared" si="10"/>
        <v>2700000</v>
      </c>
      <c r="V35" s="11">
        <f t="shared" si="11"/>
        <v>0</v>
      </c>
    </row>
    <row r="36" spans="1:22" ht="25.5" x14ac:dyDescent="0.25">
      <c r="A36" s="2" t="s">
        <v>62</v>
      </c>
      <c r="B36" s="3" t="s">
        <v>63</v>
      </c>
      <c r="C36" s="11">
        <v>4700000</v>
      </c>
      <c r="D36" s="12"/>
      <c r="E36" s="13"/>
      <c r="F36" s="13"/>
      <c r="G36" s="14"/>
      <c r="H36" s="27">
        <f t="shared" si="8"/>
        <v>4700000</v>
      </c>
      <c r="I36" s="48">
        <v>325766</v>
      </c>
      <c r="J36" s="17">
        <f>4374234/11</f>
        <v>397657.63636363635</v>
      </c>
      <c r="K36" s="17">
        <f t="shared" ref="K36:T36" si="24">4374234/11</f>
        <v>397657.63636363635</v>
      </c>
      <c r="L36" s="17">
        <f t="shared" si="24"/>
        <v>397657.63636363635</v>
      </c>
      <c r="M36" s="17">
        <f t="shared" si="24"/>
        <v>397657.63636363635</v>
      </c>
      <c r="N36" s="17">
        <f t="shared" si="24"/>
        <v>397657.63636363635</v>
      </c>
      <c r="O36" s="17">
        <f t="shared" si="24"/>
        <v>397657.63636363635</v>
      </c>
      <c r="P36" s="17">
        <f t="shared" si="24"/>
        <v>397657.63636363635</v>
      </c>
      <c r="Q36" s="17">
        <f t="shared" si="24"/>
        <v>397657.63636363635</v>
      </c>
      <c r="R36" s="17">
        <f t="shared" si="24"/>
        <v>397657.63636363635</v>
      </c>
      <c r="S36" s="17">
        <f t="shared" si="24"/>
        <v>397657.63636363635</v>
      </c>
      <c r="T36" s="17">
        <f t="shared" si="24"/>
        <v>397657.63636363635</v>
      </c>
      <c r="U36" s="11">
        <f t="shared" si="10"/>
        <v>4700000</v>
      </c>
      <c r="V36" s="11">
        <f t="shared" si="11"/>
        <v>0</v>
      </c>
    </row>
    <row r="37" spans="1:22" ht="38.25" x14ac:dyDescent="0.25">
      <c r="A37" s="2" t="s">
        <v>64</v>
      </c>
      <c r="B37" s="3" t="s">
        <v>65</v>
      </c>
      <c r="C37" s="11">
        <v>1000</v>
      </c>
      <c r="D37" s="12"/>
      <c r="E37" s="13"/>
      <c r="F37" s="13"/>
      <c r="G37" s="14"/>
      <c r="H37" s="27">
        <f t="shared" si="8"/>
        <v>1000</v>
      </c>
      <c r="I37" s="48"/>
      <c r="J37" s="17">
        <f>1000/11</f>
        <v>90.909090909090907</v>
      </c>
      <c r="K37" s="17">
        <f t="shared" ref="K37:T38" si="25">1000/11</f>
        <v>90.909090909090907</v>
      </c>
      <c r="L37" s="17">
        <f t="shared" si="25"/>
        <v>90.909090909090907</v>
      </c>
      <c r="M37" s="17">
        <f t="shared" si="25"/>
        <v>90.909090909090907</v>
      </c>
      <c r="N37" s="17">
        <f t="shared" si="25"/>
        <v>90.909090909090907</v>
      </c>
      <c r="O37" s="17">
        <f t="shared" si="25"/>
        <v>90.909090909090907</v>
      </c>
      <c r="P37" s="17">
        <f t="shared" si="25"/>
        <v>90.909090909090907</v>
      </c>
      <c r="Q37" s="17">
        <f t="shared" si="25"/>
        <v>90.909090909090907</v>
      </c>
      <c r="R37" s="17">
        <f t="shared" si="25"/>
        <v>90.909090909090907</v>
      </c>
      <c r="S37" s="17">
        <f t="shared" si="25"/>
        <v>90.909090909090907</v>
      </c>
      <c r="T37" s="17">
        <f t="shared" si="25"/>
        <v>90.909090909090907</v>
      </c>
      <c r="U37" s="11">
        <f t="shared" si="10"/>
        <v>999.99999999999977</v>
      </c>
      <c r="V37" s="11">
        <f t="shared" si="11"/>
        <v>0</v>
      </c>
    </row>
    <row r="38" spans="1:22" ht="25.5" x14ac:dyDescent="0.25">
      <c r="A38" s="2" t="s">
        <v>66</v>
      </c>
      <c r="B38" s="3" t="s">
        <v>67</v>
      </c>
      <c r="C38" s="11">
        <v>1000</v>
      </c>
      <c r="D38" s="12"/>
      <c r="E38" s="13"/>
      <c r="F38" s="13"/>
      <c r="G38" s="14"/>
      <c r="H38" s="27">
        <f t="shared" si="8"/>
        <v>1000</v>
      </c>
      <c r="I38" s="48"/>
      <c r="J38" s="17">
        <f t="shared" ref="J38" si="26">1000/11</f>
        <v>90.909090909090907</v>
      </c>
      <c r="K38" s="17">
        <f t="shared" si="25"/>
        <v>90.909090909090907</v>
      </c>
      <c r="L38" s="17">
        <f t="shared" si="25"/>
        <v>90.909090909090907</v>
      </c>
      <c r="M38" s="17">
        <f t="shared" si="25"/>
        <v>90.909090909090907</v>
      </c>
      <c r="N38" s="17">
        <f t="shared" si="25"/>
        <v>90.909090909090907</v>
      </c>
      <c r="O38" s="17">
        <f t="shared" si="25"/>
        <v>90.909090909090907</v>
      </c>
      <c r="P38" s="17">
        <f t="shared" si="25"/>
        <v>90.909090909090907</v>
      </c>
      <c r="Q38" s="17">
        <f t="shared" si="25"/>
        <v>90.909090909090907</v>
      </c>
      <c r="R38" s="17">
        <f t="shared" si="25"/>
        <v>90.909090909090907</v>
      </c>
      <c r="S38" s="17">
        <f t="shared" si="25"/>
        <v>90.909090909090907</v>
      </c>
      <c r="T38" s="17">
        <f t="shared" si="25"/>
        <v>90.909090909090907</v>
      </c>
      <c r="U38" s="11">
        <f t="shared" si="10"/>
        <v>999.99999999999977</v>
      </c>
      <c r="V38" s="11">
        <f t="shared" si="11"/>
        <v>0</v>
      </c>
    </row>
    <row r="39" spans="1:22" ht="13.5" thickBot="1" x14ac:dyDescent="0.3">
      <c r="A39" s="6"/>
      <c r="B39" s="7"/>
      <c r="C39" s="19"/>
      <c r="D39" s="20"/>
      <c r="E39" s="21"/>
      <c r="F39" s="21"/>
      <c r="G39" s="22"/>
      <c r="H39" s="40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4"/>
      <c r="U39" s="45"/>
      <c r="V39" s="19"/>
    </row>
    <row r="40" spans="1:22" ht="13.5" thickBot="1" x14ac:dyDescent="0.3">
      <c r="A40" s="75" t="s">
        <v>26</v>
      </c>
      <c r="B40" s="76"/>
      <c r="C40" s="23">
        <f t="shared" ref="C40:V40" si="27">SUM(C22:C39)</f>
        <v>103103000</v>
      </c>
      <c r="D40" s="24">
        <f t="shared" si="27"/>
        <v>0</v>
      </c>
      <c r="E40" s="25">
        <f t="shared" si="27"/>
        <v>0</v>
      </c>
      <c r="F40" s="25">
        <f t="shared" si="27"/>
        <v>0</v>
      </c>
      <c r="G40" s="26">
        <f t="shared" si="27"/>
        <v>0</v>
      </c>
      <c r="H40" s="23">
        <f t="shared" si="27"/>
        <v>103103000</v>
      </c>
      <c r="I40" s="37">
        <f t="shared" si="27"/>
        <v>507146</v>
      </c>
      <c r="J40" s="38">
        <f t="shared" si="27"/>
        <v>6811450.3636363642</v>
      </c>
      <c r="K40" s="38">
        <f t="shared" si="27"/>
        <v>6811450.3636363642</v>
      </c>
      <c r="L40" s="38">
        <f t="shared" si="27"/>
        <v>6811450.3636363642</v>
      </c>
      <c r="M40" s="38">
        <f t="shared" si="27"/>
        <v>6811450.3636363642</v>
      </c>
      <c r="N40" s="38">
        <f t="shared" si="27"/>
        <v>6811450.3636363642</v>
      </c>
      <c r="O40" s="38">
        <f t="shared" si="27"/>
        <v>13611450.363636363</v>
      </c>
      <c r="P40" s="38">
        <f t="shared" si="27"/>
        <v>13611450.363636363</v>
      </c>
      <c r="Q40" s="38">
        <f t="shared" si="27"/>
        <v>13611450.363636363</v>
      </c>
      <c r="R40" s="38">
        <f t="shared" si="27"/>
        <v>13611450.363636363</v>
      </c>
      <c r="S40" s="38">
        <f t="shared" si="27"/>
        <v>13611450.363636363</v>
      </c>
      <c r="T40" s="39">
        <f t="shared" si="27"/>
        <v>481350.36363636365</v>
      </c>
      <c r="U40" s="23">
        <f t="shared" si="27"/>
        <v>103103000</v>
      </c>
      <c r="V40" s="23">
        <f t="shared" si="27"/>
        <v>0</v>
      </c>
    </row>
  </sheetData>
  <mergeCells count="67">
    <mergeCell ref="V20:V21"/>
    <mergeCell ref="A40:B40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8" orientation="landscape" r:id="rId1"/>
  <headerFooter>
    <oddFooter>&amp;L&amp;F&amp;C&amp;A&amp;R&amp;P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A28" zoomScaleNormal="100" workbookViewId="0">
      <selection sqref="A1:XFD1048576"/>
    </sheetView>
  </sheetViews>
  <sheetFormatPr baseColWidth="10" defaultColWidth="11.42578125" defaultRowHeight="12.75" x14ac:dyDescent="0.25"/>
  <cols>
    <col min="1" max="1" width="9.85546875" style="1" customWidth="1"/>
    <col min="2" max="2" width="14.7109375" style="1" customWidth="1"/>
    <col min="3" max="3" width="11.7109375" style="1" customWidth="1"/>
    <col min="4" max="4" width="10.7109375" style="1" customWidth="1"/>
    <col min="5" max="7" width="3.85546875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3" width="9.7109375" style="1" customWidth="1"/>
    <col min="14" max="14" width="9.85546875" style="1" customWidth="1"/>
    <col min="15" max="19" width="10.7109375" style="1" customWidth="1"/>
    <col min="20" max="20" width="8.7109375" style="1" customWidth="1"/>
    <col min="21" max="21" width="11.7109375" style="1" customWidth="1"/>
    <col min="22" max="22" width="3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114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29">
        <f>3120000/9</f>
        <v>346666.66666666669</v>
      </c>
      <c r="L8" s="29">
        <f t="shared" ref="L8:S8" si="0">3120000/9</f>
        <v>346666.66666666669</v>
      </c>
      <c r="M8" s="29">
        <f t="shared" si="0"/>
        <v>346666.66666666669</v>
      </c>
      <c r="N8" s="29">
        <f t="shared" si="0"/>
        <v>346666.66666666669</v>
      </c>
      <c r="O8" s="29">
        <f t="shared" si="0"/>
        <v>346666.66666666669</v>
      </c>
      <c r="P8" s="29">
        <f t="shared" si="0"/>
        <v>346666.66666666669</v>
      </c>
      <c r="Q8" s="29">
        <f t="shared" si="0"/>
        <v>346666.66666666669</v>
      </c>
      <c r="R8" s="29">
        <f t="shared" si="0"/>
        <v>346666.66666666669</v>
      </c>
      <c r="S8" s="29">
        <f t="shared" si="0"/>
        <v>346666.66666666669</v>
      </c>
      <c r="T8" s="41"/>
      <c r="U8" s="42">
        <f>SUM(I8:T8)</f>
        <v>3999999.9999999995</v>
      </c>
      <c r="V8" s="11">
        <f>H8-U8</f>
        <v>0</v>
      </c>
    </row>
    <row r="9" spans="1:22" ht="51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1">C9+D9-F9</f>
        <v>3000000</v>
      </c>
      <c r="I9" s="48">
        <v>682000</v>
      </c>
      <c r="J9" s="51">
        <v>469000</v>
      </c>
      <c r="K9" s="17">
        <f>1849000/10</f>
        <v>184900</v>
      </c>
      <c r="L9" s="17">
        <f t="shared" ref="L9:T9" si="2">1849000/10</f>
        <v>184900</v>
      </c>
      <c r="M9" s="17">
        <f t="shared" si="2"/>
        <v>184900</v>
      </c>
      <c r="N9" s="17">
        <f t="shared" si="2"/>
        <v>184900</v>
      </c>
      <c r="O9" s="17">
        <f t="shared" si="2"/>
        <v>184900</v>
      </c>
      <c r="P9" s="17">
        <f t="shared" si="2"/>
        <v>184900</v>
      </c>
      <c r="Q9" s="17">
        <f t="shared" si="2"/>
        <v>184900</v>
      </c>
      <c r="R9" s="17">
        <f t="shared" si="2"/>
        <v>184900</v>
      </c>
      <c r="S9" s="17">
        <f t="shared" si="2"/>
        <v>184900</v>
      </c>
      <c r="T9" s="17">
        <f t="shared" si="2"/>
        <v>184900</v>
      </c>
      <c r="U9" s="15">
        <f t="shared" ref="U9:U16" si="3">SUM(I9:T9)</f>
        <v>3000000</v>
      </c>
      <c r="V9" s="15">
        <f t="shared" ref="V9:V16" si="4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/>
      <c r="E10" s="84"/>
      <c r="F10" s="84"/>
      <c r="G10" s="85"/>
      <c r="H10" s="32">
        <f t="shared" si="1"/>
        <v>62000000</v>
      </c>
      <c r="I10" s="48"/>
      <c r="J10" s="51"/>
      <c r="K10" s="17">
        <v>62000000</v>
      </c>
      <c r="L10" s="17"/>
      <c r="M10" s="17"/>
      <c r="N10" s="17"/>
      <c r="O10" s="17"/>
      <c r="P10" s="17"/>
      <c r="Q10" s="17"/>
      <c r="R10" s="17"/>
      <c r="S10" s="17"/>
      <c r="T10" s="43"/>
      <c r="U10" s="15">
        <f t="shared" si="3"/>
        <v>62000000</v>
      </c>
      <c r="V10" s="15">
        <f t="shared" si="4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/>
      <c r="G11" s="85"/>
      <c r="H11" s="32">
        <f t="shared" si="1"/>
        <v>34000000</v>
      </c>
      <c r="I11" s="48"/>
      <c r="J11" s="51"/>
      <c r="K11" s="17"/>
      <c r="L11" s="17"/>
      <c r="M11" s="17"/>
      <c r="N11" s="17"/>
      <c r="O11" s="17">
        <v>34000000</v>
      </c>
      <c r="P11" s="17"/>
      <c r="Q11" s="17"/>
      <c r="R11" s="17"/>
      <c r="S11" s="17"/>
      <c r="T11" s="43"/>
      <c r="U11" s="15">
        <f t="shared" si="3"/>
        <v>34000000</v>
      </c>
      <c r="V11" s="15">
        <f t="shared" si="4"/>
        <v>0</v>
      </c>
    </row>
    <row r="12" spans="1:22" ht="25.5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1"/>
        <v>100000</v>
      </c>
      <c r="I12" s="48">
        <v>459</v>
      </c>
      <c r="J12" s="51">
        <v>413</v>
      </c>
      <c r="K12" s="17">
        <f>99128/10</f>
        <v>9912.7999999999993</v>
      </c>
      <c r="L12" s="17">
        <f t="shared" ref="L12:T12" si="5">99128/10</f>
        <v>9912.7999999999993</v>
      </c>
      <c r="M12" s="17">
        <f t="shared" si="5"/>
        <v>9912.7999999999993</v>
      </c>
      <c r="N12" s="17">
        <f t="shared" si="5"/>
        <v>9912.7999999999993</v>
      </c>
      <c r="O12" s="17">
        <f t="shared" si="5"/>
        <v>9912.7999999999993</v>
      </c>
      <c r="P12" s="17">
        <f t="shared" si="5"/>
        <v>9912.7999999999993</v>
      </c>
      <c r="Q12" s="17">
        <f t="shared" si="5"/>
        <v>9912.7999999999993</v>
      </c>
      <c r="R12" s="17">
        <f t="shared" si="5"/>
        <v>9912.7999999999993</v>
      </c>
      <c r="S12" s="17">
        <f t="shared" si="5"/>
        <v>9912.7999999999993</v>
      </c>
      <c r="T12" s="17">
        <f t="shared" si="5"/>
        <v>9912.7999999999993</v>
      </c>
      <c r="U12" s="15">
        <f t="shared" si="3"/>
        <v>100000.00000000001</v>
      </c>
      <c r="V12" s="15">
        <f t="shared" si="4"/>
        <v>0</v>
      </c>
    </row>
    <row r="13" spans="1:22" ht="25.5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1"/>
        <v>4374645</v>
      </c>
      <c r="I13" s="49"/>
      <c r="J13" s="52">
        <v>4373645</v>
      </c>
      <c r="K13" s="21">
        <v>1000</v>
      </c>
      <c r="L13" s="21"/>
      <c r="M13" s="21"/>
      <c r="N13" s="21"/>
      <c r="O13" s="21"/>
      <c r="P13" s="21"/>
      <c r="Q13" s="21"/>
      <c r="R13" s="21"/>
      <c r="S13" s="21"/>
      <c r="T13" s="46"/>
      <c r="U13" s="15">
        <f t="shared" si="3"/>
        <v>4374645</v>
      </c>
      <c r="V13" s="15">
        <f t="shared" si="4"/>
        <v>0</v>
      </c>
    </row>
    <row r="14" spans="1:22" ht="25.5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1"/>
        <v>959084</v>
      </c>
      <c r="I14" s="49"/>
      <c r="J14" s="52">
        <v>958084</v>
      </c>
      <c r="K14" s="21">
        <v>1000</v>
      </c>
      <c r="L14" s="21"/>
      <c r="M14" s="21"/>
      <c r="N14" s="21"/>
      <c r="O14" s="21"/>
      <c r="P14" s="21"/>
      <c r="Q14" s="21"/>
      <c r="R14" s="21"/>
      <c r="S14" s="21"/>
      <c r="T14" s="46"/>
      <c r="U14" s="15">
        <f t="shared" si="3"/>
        <v>959084</v>
      </c>
      <c r="V14" s="15">
        <f t="shared" si="4"/>
        <v>0</v>
      </c>
    </row>
    <row r="15" spans="1:22" ht="25.5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1"/>
        <v>6881372</v>
      </c>
      <c r="I15" s="49"/>
      <c r="J15" s="52">
        <v>6880372</v>
      </c>
      <c r="K15" s="21">
        <v>1000</v>
      </c>
      <c r="L15" s="21"/>
      <c r="M15" s="21"/>
      <c r="N15" s="21"/>
      <c r="O15" s="21"/>
      <c r="P15" s="21"/>
      <c r="Q15" s="21"/>
      <c r="R15" s="21"/>
      <c r="S15" s="21"/>
      <c r="T15" s="46"/>
      <c r="U15" s="15">
        <f t="shared" si="3"/>
        <v>6881372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3"/>
        <v>0</v>
      </c>
      <c r="V16" s="15">
        <f t="shared" si="4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12212101</v>
      </c>
      <c r="E17" s="81"/>
      <c r="F17" s="80">
        <f>SUM(F8:G16)</f>
        <v>0</v>
      </c>
      <c r="G17" s="81"/>
      <c r="H17" s="23">
        <f t="shared" ref="H17:V17" si="6">SUM(H8:H16)</f>
        <v>115315101</v>
      </c>
      <c r="I17" s="37">
        <f t="shared" si="6"/>
        <v>682459</v>
      </c>
      <c r="J17" s="38">
        <f t="shared" si="6"/>
        <v>13561514</v>
      </c>
      <c r="K17" s="38">
        <f t="shared" si="6"/>
        <v>62544479.466666661</v>
      </c>
      <c r="L17" s="38">
        <f t="shared" si="6"/>
        <v>541479.46666666679</v>
      </c>
      <c r="M17" s="38">
        <f t="shared" si="6"/>
        <v>541479.46666666679</v>
      </c>
      <c r="N17" s="38">
        <f t="shared" si="6"/>
        <v>541479.46666666679</v>
      </c>
      <c r="O17" s="38">
        <f t="shared" si="6"/>
        <v>34541479.466666661</v>
      </c>
      <c r="P17" s="38">
        <f t="shared" si="6"/>
        <v>541479.46666666679</v>
      </c>
      <c r="Q17" s="38">
        <f t="shared" si="6"/>
        <v>541479.46666666679</v>
      </c>
      <c r="R17" s="38">
        <f t="shared" si="6"/>
        <v>541479.46666666679</v>
      </c>
      <c r="S17" s="38">
        <f t="shared" si="6"/>
        <v>541479.46666666679</v>
      </c>
      <c r="T17" s="39">
        <f t="shared" si="6"/>
        <v>194812.79999999999</v>
      </c>
      <c r="U17" s="23">
        <f t="shared" si="6"/>
        <v>115315101</v>
      </c>
      <c r="V17" s="23">
        <f t="shared" si="6"/>
        <v>0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90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/>
      <c r="E22" s="13"/>
      <c r="F22" s="13"/>
      <c r="G22" s="14"/>
      <c r="H22" s="27">
        <f>C22+D22-E22+F22-G22</f>
        <v>9700000</v>
      </c>
      <c r="I22" s="47"/>
      <c r="J22" s="50"/>
      <c r="K22" s="29"/>
      <c r="L22" s="29"/>
      <c r="M22" s="29"/>
      <c r="N22" s="29"/>
      <c r="O22" s="29">
        <f>9700000/5</f>
        <v>1940000</v>
      </c>
      <c r="P22" s="29">
        <f t="shared" ref="P22:S22" si="7">9700000/5</f>
        <v>1940000</v>
      </c>
      <c r="Q22" s="29">
        <f t="shared" si="7"/>
        <v>1940000</v>
      </c>
      <c r="R22" s="29">
        <f t="shared" si="7"/>
        <v>1940000</v>
      </c>
      <c r="S22" s="29">
        <f t="shared" si="7"/>
        <v>1940000</v>
      </c>
      <c r="T22" s="41"/>
      <c r="U22" s="42">
        <f>SUM(I22:T22)</f>
        <v>9700000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2" si="8">C23+D23-E23+F23-G23</f>
        <v>4400000</v>
      </c>
      <c r="I23" s="48"/>
      <c r="J23" s="51"/>
      <c r="K23" s="17"/>
      <c r="L23" s="17"/>
      <c r="M23" s="17"/>
      <c r="N23" s="17"/>
      <c r="O23" s="17">
        <f>4400000/5</f>
        <v>880000</v>
      </c>
      <c r="P23" s="17">
        <f t="shared" ref="P23:S23" si="9">4400000/5</f>
        <v>880000</v>
      </c>
      <c r="Q23" s="17">
        <f t="shared" si="9"/>
        <v>880000</v>
      </c>
      <c r="R23" s="17">
        <f t="shared" si="9"/>
        <v>880000</v>
      </c>
      <c r="S23" s="17">
        <f t="shared" si="9"/>
        <v>880000</v>
      </c>
      <c r="T23" s="43"/>
      <c r="U23" s="11">
        <f t="shared" ref="U23:U42" si="10">SUM(I23:T23)</f>
        <v>4400000</v>
      </c>
      <c r="V23" s="11">
        <f t="shared" ref="V23:V42" si="11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8"/>
        <v>14100000</v>
      </c>
      <c r="I24" s="48"/>
      <c r="J24" s="51"/>
      <c r="K24" s="17">
        <f>14100000/9</f>
        <v>1566666.6666666667</v>
      </c>
      <c r="L24" s="17">
        <f t="shared" ref="L24:S24" si="12">14100000/9</f>
        <v>1566666.6666666667</v>
      </c>
      <c r="M24" s="17">
        <f t="shared" si="12"/>
        <v>1566666.6666666667</v>
      </c>
      <c r="N24" s="17">
        <f t="shared" si="12"/>
        <v>1566666.6666666667</v>
      </c>
      <c r="O24" s="17">
        <f t="shared" si="12"/>
        <v>1566666.6666666667</v>
      </c>
      <c r="P24" s="17">
        <f t="shared" si="12"/>
        <v>1566666.6666666667</v>
      </c>
      <c r="Q24" s="17">
        <f t="shared" si="12"/>
        <v>1566666.6666666667</v>
      </c>
      <c r="R24" s="17">
        <f t="shared" si="12"/>
        <v>1566666.6666666667</v>
      </c>
      <c r="S24" s="17">
        <f t="shared" si="12"/>
        <v>1566666.6666666667</v>
      </c>
      <c r="T24" s="43"/>
      <c r="U24" s="11">
        <f t="shared" si="10"/>
        <v>14099999.999999998</v>
      </c>
      <c r="V24" s="11">
        <f t="shared" si="11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8"/>
        <v>1000</v>
      </c>
      <c r="I25" s="48"/>
      <c r="J25" s="51"/>
      <c r="K25" s="17">
        <f>1000/9</f>
        <v>111.11111111111111</v>
      </c>
      <c r="L25" s="17">
        <f t="shared" ref="L25:S25" si="13">1000/9</f>
        <v>111.11111111111111</v>
      </c>
      <c r="M25" s="17">
        <f t="shared" si="13"/>
        <v>111.11111111111111</v>
      </c>
      <c r="N25" s="17">
        <f t="shared" si="13"/>
        <v>111.11111111111111</v>
      </c>
      <c r="O25" s="17">
        <f t="shared" si="13"/>
        <v>111.11111111111111</v>
      </c>
      <c r="P25" s="17">
        <f t="shared" si="13"/>
        <v>111.11111111111111</v>
      </c>
      <c r="Q25" s="17">
        <f t="shared" si="13"/>
        <v>111.11111111111111</v>
      </c>
      <c r="R25" s="17">
        <f t="shared" si="13"/>
        <v>111.11111111111111</v>
      </c>
      <c r="S25" s="17">
        <f t="shared" si="13"/>
        <v>111.11111111111111</v>
      </c>
      <c r="T25" s="43"/>
      <c r="U25" s="11">
        <f t="shared" si="10"/>
        <v>999.99999999999989</v>
      </c>
      <c r="V25" s="11">
        <f t="shared" si="11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/>
      <c r="E26" s="13"/>
      <c r="F26" s="13"/>
      <c r="G26" s="14"/>
      <c r="H26" s="27">
        <f t="shared" si="8"/>
        <v>14200000</v>
      </c>
      <c r="I26" s="48"/>
      <c r="J26" s="51"/>
      <c r="K26" s="17">
        <f>14200000/9</f>
        <v>1577777.7777777778</v>
      </c>
      <c r="L26" s="17">
        <f t="shared" ref="L26:S26" si="14">14200000/9</f>
        <v>1577777.7777777778</v>
      </c>
      <c r="M26" s="17">
        <f t="shared" si="14"/>
        <v>1577777.7777777778</v>
      </c>
      <c r="N26" s="17">
        <f t="shared" si="14"/>
        <v>1577777.7777777778</v>
      </c>
      <c r="O26" s="17">
        <f t="shared" si="14"/>
        <v>1577777.7777777778</v>
      </c>
      <c r="P26" s="17">
        <f t="shared" si="14"/>
        <v>1577777.7777777778</v>
      </c>
      <c r="Q26" s="17">
        <f t="shared" si="14"/>
        <v>1577777.7777777778</v>
      </c>
      <c r="R26" s="17">
        <f t="shared" si="14"/>
        <v>1577777.7777777778</v>
      </c>
      <c r="S26" s="17">
        <f t="shared" si="14"/>
        <v>1577777.7777777778</v>
      </c>
      <c r="T26" s="43"/>
      <c r="U26" s="11">
        <f t="shared" si="10"/>
        <v>14200000</v>
      </c>
      <c r="V26" s="11">
        <f t="shared" si="11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/>
      <c r="F27" s="13"/>
      <c r="G27" s="14"/>
      <c r="H27" s="27">
        <f t="shared" si="8"/>
        <v>11600000</v>
      </c>
      <c r="I27" s="48"/>
      <c r="J27" s="51"/>
      <c r="K27" s="17"/>
      <c r="L27" s="17"/>
      <c r="M27" s="17"/>
      <c r="N27" s="17"/>
      <c r="O27" s="17">
        <f>11600000/5</f>
        <v>2320000</v>
      </c>
      <c r="P27" s="17">
        <f t="shared" ref="P27:S27" si="15">11600000/5</f>
        <v>2320000</v>
      </c>
      <c r="Q27" s="17">
        <f t="shared" si="15"/>
        <v>2320000</v>
      </c>
      <c r="R27" s="17">
        <f t="shared" si="15"/>
        <v>2320000</v>
      </c>
      <c r="S27" s="17">
        <f t="shared" si="15"/>
        <v>2320000</v>
      </c>
      <c r="T27" s="43"/>
      <c r="U27" s="11">
        <f t="shared" si="10"/>
        <v>11600000</v>
      </c>
      <c r="V27" s="11">
        <f t="shared" si="11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8"/>
        <v>958084</v>
      </c>
      <c r="I28" s="48"/>
      <c r="J28" s="51"/>
      <c r="K28" s="17">
        <f>958084/9</f>
        <v>106453.77777777778</v>
      </c>
      <c r="L28" s="17">
        <f t="shared" ref="L28:S28" si="16">958084/9</f>
        <v>106453.77777777778</v>
      </c>
      <c r="M28" s="17">
        <f t="shared" si="16"/>
        <v>106453.77777777778</v>
      </c>
      <c r="N28" s="17">
        <f t="shared" si="16"/>
        <v>106453.77777777778</v>
      </c>
      <c r="O28" s="17">
        <f t="shared" si="16"/>
        <v>106453.77777777778</v>
      </c>
      <c r="P28" s="17">
        <f t="shared" si="16"/>
        <v>106453.77777777778</v>
      </c>
      <c r="Q28" s="17">
        <f t="shared" si="16"/>
        <v>106453.77777777778</v>
      </c>
      <c r="R28" s="17">
        <f t="shared" si="16"/>
        <v>106453.77777777778</v>
      </c>
      <c r="S28" s="17">
        <f t="shared" si="16"/>
        <v>106453.77777777778</v>
      </c>
      <c r="T28" s="43"/>
      <c r="U28" s="11">
        <f t="shared" ref="U28:U29" si="17">SUM(I28:T28)</f>
        <v>958083.99999999988</v>
      </c>
      <c r="V28" s="11">
        <f t="shared" ref="V28:V29" si="18">H28-U28</f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8"/>
        <v>6880372</v>
      </c>
      <c r="I29" s="48"/>
      <c r="J29" s="51"/>
      <c r="K29" s="17">
        <f>6880372/9</f>
        <v>764485.77777777775</v>
      </c>
      <c r="L29" s="17">
        <f t="shared" ref="L29:S29" si="19">6880372/9</f>
        <v>764485.77777777775</v>
      </c>
      <c r="M29" s="17">
        <f t="shared" si="19"/>
        <v>764485.77777777775</v>
      </c>
      <c r="N29" s="17">
        <f t="shared" si="19"/>
        <v>764485.77777777775</v>
      </c>
      <c r="O29" s="17">
        <f t="shared" si="19"/>
        <v>764485.77777777775</v>
      </c>
      <c r="P29" s="17">
        <f t="shared" si="19"/>
        <v>764485.77777777775</v>
      </c>
      <c r="Q29" s="17">
        <f t="shared" si="19"/>
        <v>764485.77777777775</v>
      </c>
      <c r="R29" s="17">
        <f t="shared" si="19"/>
        <v>764485.77777777775</v>
      </c>
      <c r="S29" s="17">
        <f t="shared" si="19"/>
        <v>764485.77777777775</v>
      </c>
      <c r="T29" s="43"/>
      <c r="U29" s="11">
        <f t="shared" si="17"/>
        <v>6880372.0000000009</v>
      </c>
      <c r="V29" s="11">
        <f t="shared" si="18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8"/>
        <v>1100000</v>
      </c>
      <c r="I30" s="48">
        <v>181380</v>
      </c>
      <c r="J30" s="51">
        <v>106291</v>
      </c>
      <c r="K30" s="17">
        <f>812329/10</f>
        <v>81232.899999999994</v>
      </c>
      <c r="L30" s="17">
        <f t="shared" ref="L30:T30" si="20">812329/10</f>
        <v>81232.899999999994</v>
      </c>
      <c r="M30" s="17">
        <f t="shared" si="20"/>
        <v>81232.899999999994</v>
      </c>
      <c r="N30" s="17">
        <f t="shared" si="20"/>
        <v>81232.899999999994</v>
      </c>
      <c r="O30" s="17">
        <f t="shared" si="20"/>
        <v>81232.899999999994</v>
      </c>
      <c r="P30" s="17">
        <f t="shared" si="20"/>
        <v>81232.899999999994</v>
      </c>
      <c r="Q30" s="17">
        <f t="shared" si="20"/>
        <v>81232.899999999994</v>
      </c>
      <c r="R30" s="17">
        <f t="shared" si="20"/>
        <v>81232.899999999994</v>
      </c>
      <c r="S30" s="17">
        <f t="shared" si="20"/>
        <v>81232.899999999994</v>
      </c>
      <c r="T30" s="17">
        <f t="shared" si="20"/>
        <v>81232.899999999994</v>
      </c>
      <c r="U30" s="11">
        <f t="shared" si="10"/>
        <v>1100000.0000000002</v>
      </c>
      <c r="V30" s="11">
        <f t="shared" si="11"/>
        <v>0</v>
      </c>
    </row>
    <row r="31" spans="1:22" ht="38.2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8"/>
        <v>1373645</v>
      </c>
      <c r="I31" s="48"/>
      <c r="J31" s="51"/>
      <c r="K31" s="17">
        <f>1373645/10</f>
        <v>137364.5</v>
      </c>
      <c r="L31" s="17">
        <f t="shared" ref="L31:T31" si="21">1373645/10</f>
        <v>137364.5</v>
      </c>
      <c r="M31" s="17">
        <f t="shared" si="21"/>
        <v>137364.5</v>
      </c>
      <c r="N31" s="17">
        <f t="shared" si="21"/>
        <v>137364.5</v>
      </c>
      <c r="O31" s="17">
        <f t="shared" si="21"/>
        <v>137364.5</v>
      </c>
      <c r="P31" s="17">
        <f t="shared" si="21"/>
        <v>137364.5</v>
      </c>
      <c r="Q31" s="17">
        <f t="shared" si="21"/>
        <v>137364.5</v>
      </c>
      <c r="R31" s="17">
        <f t="shared" si="21"/>
        <v>137364.5</v>
      </c>
      <c r="S31" s="17">
        <f t="shared" si="21"/>
        <v>137364.5</v>
      </c>
      <c r="T31" s="17">
        <f t="shared" si="21"/>
        <v>137364.5</v>
      </c>
      <c r="U31" s="11">
        <f t="shared" si="10"/>
        <v>1373645</v>
      </c>
      <c r="V31" s="11">
        <f t="shared" si="11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/>
      <c r="E32" s="13"/>
      <c r="F32" s="13"/>
      <c r="G32" s="14"/>
      <c r="H32" s="27">
        <f t="shared" si="8"/>
        <v>5000000</v>
      </c>
      <c r="I32" s="48"/>
      <c r="J32" s="51"/>
      <c r="K32" s="17">
        <f>5000000/9</f>
        <v>555555.5555555555</v>
      </c>
      <c r="L32" s="17">
        <f t="shared" ref="L32:S32" si="22">5000000/9</f>
        <v>555555.5555555555</v>
      </c>
      <c r="M32" s="17">
        <f t="shared" si="22"/>
        <v>555555.5555555555</v>
      </c>
      <c r="N32" s="17">
        <f t="shared" si="22"/>
        <v>555555.5555555555</v>
      </c>
      <c r="O32" s="17">
        <f t="shared" si="22"/>
        <v>555555.5555555555</v>
      </c>
      <c r="P32" s="17">
        <f t="shared" si="22"/>
        <v>555555.5555555555</v>
      </c>
      <c r="Q32" s="17">
        <f t="shared" si="22"/>
        <v>555555.5555555555</v>
      </c>
      <c r="R32" s="17">
        <f t="shared" si="22"/>
        <v>555555.5555555555</v>
      </c>
      <c r="S32" s="17">
        <f t="shared" si="22"/>
        <v>555555.5555555555</v>
      </c>
      <c r="T32" s="43"/>
      <c r="U32" s="11">
        <f t="shared" si="10"/>
        <v>5000000</v>
      </c>
      <c r="V32" s="11">
        <f t="shared" si="11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51"/>
      <c r="K33" s="17">
        <f>24000000/9</f>
        <v>2666666.6666666665</v>
      </c>
      <c r="L33" s="17">
        <f t="shared" ref="L33:S33" si="23">24000000/9</f>
        <v>2666666.6666666665</v>
      </c>
      <c r="M33" s="17">
        <f t="shared" si="23"/>
        <v>2666666.6666666665</v>
      </c>
      <c r="N33" s="17">
        <f t="shared" si="23"/>
        <v>2666666.6666666665</v>
      </c>
      <c r="O33" s="17">
        <f t="shared" si="23"/>
        <v>2666666.6666666665</v>
      </c>
      <c r="P33" s="17">
        <f t="shared" si="23"/>
        <v>2666666.6666666665</v>
      </c>
      <c r="Q33" s="17">
        <f t="shared" si="23"/>
        <v>2666666.6666666665</v>
      </c>
      <c r="R33" s="17">
        <f t="shared" si="23"/>
        <v>2666666.6666666665</v>
      </c>
      <c r="S33" s="17">
        <f t="shared" si="23"/>
        <v>2666666.6666666665</v>
      </c>
      <c r="T33" s="43"/>
      <c r="U33" s="11">
        <f t="shared" si="10"/>
        <v>24000000</v>
      </c>
      <c r="V33" s="11">
        <f t="shared" si="11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8"/>
        <v>4300000</v>
      </c>
      <c r="I34" s="48"/>
      <c r="J34" s="51"/>
      <c r="K34" s="17"/>
      <c r="L34" s="17"/>
      <c r="M34" s="17"/>
      <c r="N34" s="17"/>
      <c r="O34" s="17">
        <f>4300000/5</f>
        <v>860000</v>
      </c>
      <c r="P34" s="17">
        <f t="shared" ref="P34:S34" si="24">4300000/5</f>
        <v>860000</v>
      </c>
      <c r="Q34" s="17">
        <f t="shared" si="24"/>
        <v>860000</v>
      </c>
      <c r="R34" s="17">
        <f t="shared" si="24"/>
        <v>860000</v>
      </c>
      <c r="S34" s="17">
        <f t="shared" si="24"/>
        <v>860000</v>
      </c>
      <c r="T34" s="43"/>
      <c r="U34" s="11">
        <f t="shared" si="10"/>
        <v>4300000</v>
      </c>
      <c r="V34" s="11">
        <f t="shared" si="11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8"/>
        <v>3200000</v>
      </c>
      <c r="I35" s="48"/>
      <c r="J35" s="51"/>
      <c r="K35" s="17">
        <f>3200000/9</f>
        <v>355555.55555555556</v>
      </c>
      <c r="L35" s="17">
        <f t="shared" ref="L35:S35" si="25">3200000/9</f>
        <v>355555.55555555556</v>
      </c>
      <c r="M35" s="17">
        <f t="shared" si="25"/>
        <v>355555.55555555556</v>
      </c>
      <c r="N35" s="17">
        <f t="shared" si="25"/>
        <v>355555.55555555556</v>
      </c>
      <c r="O35" s="17">
        <f t="shared" si="25"/>
        <v>355555.55555555556</v>
      </c>
      <c r="P35" s="17">
        <f t="shared" si="25"/>
        <v>355555.55555555556</v>
      </c>
      <c r="Q35" s="17">
        <f t="shared" si="25"/>
        <v>355555.55555555556</v>
      </c>
      <c r="R35" s="17">
        <f t="shared" si="25"/>
        <v>355555.55555555556</v>
      </c>
      <c r="S35" s="17">
        <f t="shared" si="25"/>
        <v>355555.55555555556</v>
      </c>
      <c r="T35" s="43"/>
      <c r="U35" s="11">
        <f t="shared" si="10"/>
        <v>3200000</v>
      </c>
      <c r="V35" s="11">
        <f t="shared" si="11"/>
        <v>0</v>
      </c>
    </row>
    <row r="36" spans="1:22" ht="25.5" x14ac:dyDescent="0.25">
      <c r="A36" s="2" t="s">
        <v>81</v>
      </c>
      <c r="B36" s="3" t="s">
        <v>82</v>
      </c>
      <c r="C36" s="11">
        <v>4000000</v>
      </c>
      <c r="D36" s="12"/>
      <c r="E36" s="13"/>
      <c r="F36" s="13"/>
      <c r="G36" s="14"/>
      <c r="H36" s="27">
        <f t="shared" si="8"/>
        <v>4000000</v>
      </c>
      <c r="I36" s="48"/>
      <c r="J36" s="51"/>
      <c r="K36" s="17"/>
      <c r="L36" s="17"/>
      <c r="M36" s="17"/>
      <c r="N36" s="17"/>
      <c r="O36" s="17">
        <f>4000000/5</f>
        <v>800000</v>
      </c>
      <c r="P36" s="17">
        <f t="shared" ref="P36:S36" si="26">4000000/5</f>
        <v>800000</v>
      </c>
      <c r="Q36" s="17">
        <f t="shared" si="26"/>
        <v>800000</v>
      </c>
      <c r="R36" s="17">
        <f t="shared" si="26"/>
        <v>800000</v>
      </c>
      <c r="S36" s="17">
        <f t="shared" si="26"/>
        <v>800000</v>
      </c>
      <c r="T36" s="43"/>
      <c r="U36" s="11">
        <f t="shared" si="10"/>
        <v>4000000</v>
      </c>
      <c r="V36" s="11">
        <f t="shared" si="11"/>
        <v>0</v>
      </c>
    </row>
    <row r="37" spans="1:22" ht="25.5" x14ac:dyDescent="0.25">
      <c r="A37" s="2" t="s">
        <v>83</v>
      </c>
      <c r="B37" s="3" t="s">
        <v>84</v>
      </c>
      <c r="C37" s="11">
        <v>100000</v>
      </c>
      <c r="D37" s="12"/>
      <c r="E37" s="13"/>
      <c r="F37" s="13"/>
      <c r="G37" s="14"/>
      <c r="H37" s="27">
        <f t="shared" si="8"/>
        <v>100000</v>
      </c>
      <c r="I37" s="48"/>
      <c r="J37" s="51"/>
      <c r="K37" s="17">
        <f>100000/9</f>
        <v>11111.111111111111</v>
      </c>
      <c r="L37" s="17">
        <f t="shared" ref="L37:S37" si="27">100000/9</f>
        <v>11111.111111111111</v>
      </c>
      <c r="M37" s="17">
        <f t="shared" si="27"/>
        <v>11111.111111111111</v>
      </c>
      <c r="N37" s="17">
        <f t="shared" si="27"/>
        <v>11111.111111111111</v>
      </c>
      <c r="O37" s="17">
        <f t="shared" si="27"/>
        <v>11111.111111111111</v>
      </c>
      <c r="P37" s="17">
        <f t="shared" si="27"/>
        <v>11111.111111111111</v>
      </c>
      <c r="Q37" s="17">
        <f t="shared" si="27"/>
        <v>11111.111111111111</v>
      </c>
      <c r="R37" s="17">
        <f t="shared" si="27"/>
        <v>11111.111111111111</v>
      </c>
      <c r="S37" s="17">
        <f t="shared" si="27"/>
        <v>11111.111111111111</v>
      </c>
      <c r="T37" s="43"/>
      <c r="U37" s="11">
        <f t="shared" si="10"/>
        <v>100000</v>
      </c>
      <c r="V37" s="11">
        <f t="shared" si="11"/>
        <v>0</v>
      </c>
    </row>
    <row r="38" spans="1:22" ht="38.25" x14ac:dyDescent="0.25">
      <c r="A38" s="2" t="s">
        <v>60</v>
      </c>
      <c r="B38" s="3" t="s">
        <v>61</v>
      </c>
      <c r="C38" s="11">
        <v>2700000</v>
      </c>
      <c r="D38" s="12"/>
      <c r="E38" s="13"/>
      <c r="F38" s="13"/>
      <c r="G38" s="14"/>
      <c r="H38" s="27">
        <f t="shared" si="8"/>
        <v>2700000</v>
      </c>
      <c r="I38" s="48"/>
      <c r="J38" s="51"/>
      <c r="K38" s="17">
        <f>2700000/9</f>
        <v>300000</v>
      </c>
      <c r="L38" s="17">
        <f t="shared" ref="L38:S38" si="28">2700000/9</f>
        <v>300000</v>
      </c>
      <c r="M38" s="17">
        <f t="shared" si="28"/>
        <v>300000</v>
      </c>
      <c r="N38" s="17">
        <f t="shared" si="28"/>
        <v>300000</v>
      </c>
      <c r="O38" s="17">
        <f t="shared" si="28"/>
        <v>300000</v>
      </c>
      <c r="P38" s="17">
        <f t="shared" si="28"/>
        <v>300000</v>
      </c>
      <c r="Q38" s="17">
        <f t="shared" si="28"/>
        <v>300000</v>
      </c>
      <c r="R38" s="17">
        <f t="shared" si="28"/>
        <v>300000</v>
      </c>
      <c r="S38" s="17">
        <f t="shared" si="28"/>
        <v>300000</v>
      </c>
      <c r="T38" s="43"/>
      <c r="U38" s="11">
        <f t="shared" si="10"/>
        <v>2700000</v>
      </c>
      <c r="V38" s="11">
        <f t="shared" si="11"/>
        <v>0</v>
      </c>
    </row>
    <row r="39" spans="1:22" ht="25.5" x14ac:dyDescent="0.25">
      <c r="A39" s="2" t="s">
        <v>62</v>
      </c>
      <c r="B39" s="3" t="s">
        <v>63</v>
      </c>
      <c r="C39" s="11">
        <v>4700000</v>
      </c>
      <c r="D39" s="12"/>
      <c r="E39" s="13"/>
      <c r="F39" s="13"/>
      <c r="G39" s="14"/>
      <c r="H39" s="27">
        <f t="shared" si="8"/>
        <v>4700000</v>
      </c>
      <c r="I39" s="48">
        <v>325766</v>
      </c>
      <c r="J39" s="51">
        <v>289469</v>
      </c>
      <c r="K39" s="17">
        <f>4084765/10</f>
        <v>408476.5</v>
      </c>
      <c r="L39" s="17">
        <f t="shared" ref="L39:T39" si="29">4084765/10</f>
        <v>408476.5</v>
      </c>
      <c r="M39" s="17">
        <f t="shared" si="29"/>
        <v>408476.5</v>
      </c>
      <c r="N39" s="17">
        <f t="shared" si="29"/>
        <v>408476.5</v>
      </c>
      <c r="O39" s="17">
        <f t="shared" si="29"/>
        <v>408476.5</v>
      </c>
      <c r="P39" s="17">
        <f t="shared" si="29"/>
        <v>408476.5</v>
      </c>
      <c r="Q39" s="17">
        <f t="shared" si="29"/>
        <v>408476.5</v>
      </c>
      <c r="R39" s="17">
        <f t="shared" si="29"/>
        <v>408476.5</v>
      </c>
      <c r="S39" s="17">
        <f t="shared" si="29"/>
        <v>408476.5</v>
      </c>
      <c r="T39" s="17">
        <f t="shared" si="29"/>
        <v>408476.5</v>
      </c>
      <c r="U39" s="11">
        <f t="shared" si="10"/>
        <v>4700000</v>
      </c>
      <c r="V39" s="11">
        <f t="shared" si="11"/>
        <v>0</v>
      </c>
    </row>
    <row r="40" spans="1:22" ht="38.25" x14ac:dyDescent="0.25">
      <c r="A40" s="2" t="s">
        <v>85</v>
      </c>
      <c r="B40" s="3" t="s">
        <v>86</v>
      </c>
      <c r="C40" s="11">
        <v>0</v>
      </c>
      <c r="D40" s="12">
        <v>3000000</v>
      </c>
      <c r="E40" s="13"/>
      <c r="F40" s="13"/>
      <c r="G40" s="14"/>
      <c r="H40" s="27">
        <f t="shared" si="8"/>
        <v>3000000</v>
      </c>
      <c r="I40" s="48"/>
      <c r="J40" s="51">
        <v>79597</v>
      </c>
      <c r="K40" s="17">
        <f>2920403/10</f>
        <v>292040.3</v>
      </c>
      <c r="L40" s="17">
        <f t="shared" ref="L40:T40" si="30">2920403/10</f>
        <v>292040.3</v>
      </c>
      <c r="M40" s="17">
        <f t="shared" si="30"/>
        <v>292040.3</v>
      </c>
      <c r="N40" s="17">
        <f t="shared" si="30"/>
        <v>292040.3</v>
      </c>
      <c r="O40" s="17">
        <f t="shared" si="30"/>
        <v>292040.3</v>
      </c>
      <c r="P40" s="17">
        <f t="shared" si="30"/>
        <v>292040.3</v>
      </c>
      <c r="Q40" s="17">
        <f t="shared" si="30"/>
        <v>292040.3</v>
      </c>
      <c r="R40" s="17">
        <f t="shared" si="30"/>
        <v>292040.3</v>
      </c>
      <c r="S40" s="17">
        <f t="shared" si="30"/>
        <v>292040.3</v>
      </c>
      <c r="T40" s="17">
        <f t="shared" si="30"/>
        <v>292040.3</v>
      </c>
      <c r="U40" s="11">
        <f t="shared" ref="U40" si="31">SUM(I40:T40)</f>
        <v>2999999.9999999995</v>
      </c>
      <c r="V40" s="11">
        <f t="shared" ref="V40" si="32">H40-U40</f>
        <v>0</v>
      </c>
    </row>
    <row r="41" spans="1:22" ht="38.25" x14ac:dyDescent="0.25">
      <c r="A41" s="2" t="s">
        <v>64</v>
      </c>
      <c r="B41" s="3" t="s">
        <v>65</v>
      </c>
      <c r="C41" s="11">
        <v>1000</v>
      </c>
      <c r="D41" s="12"/>
      <c r="E41" s="13"/>
      <c r="F41" s="13"/>
      <c r="G41" s="14"/>
      <c r="H41" s="27">
        <f t="shared" si="8"/>
        <v>1000</v>
      </c>
      <c r="I41" s="48"/>
      <c r="J41" s="51"/>
      <c r="K41" s="17">
        <f>1000/10</f>
        <v>100</v>
      </c>
      <c r="L41" s="17">
        <f t="shared" ref="L41:T42" si="33">1000/10</f>
        <v>100</v>
      </c>
      <c r="M41" s="17">
        <f t="shared" si="33"/>
        <v>100</v>
      </c>
      <c r="N41" s="17">
        <f t="shared" si="33"/>
        <v>100</v>
      </c>
      <c r="O41" s="17">
        <f t="shared" si="33"/>
        <v>100</v>
      </c>
      <c r="P41" s="17">
        <f t="shared" si="33"/>
        <v>100</v>
      </c>
      <c r="Q41" s="17">
        <f t="shared" si="33"/>
        <v>100</v>
      </c>
      <c r="R41" s="17">
        <f t="shared" si="33"/>
        <v>100</v>
      </c>
      <c r="S41" s="17">
        <f t="shared" si="33"/>
        <v>100</v>
      </c>
      <c r="T41" s="17">
        <f t="shared" si="33"/>
        <v>100</v>
      </c>
      <c r="U41" s="11">
        <f t="shared" si="10"/>
        <v>1000</v>
      </c>
      <c r="V41" s="11">
        <f t="shared" si="11"/>
        <v>0</v>
      </c>
    </row>
    <row r="42" spans="1:22" ht="25.5" x14ac:dyDescent="0.25">
      <c r="A42" s="2" t="s">
        <v>66</v>
      </c>
      <c r="B42" s="3" t="s">
        <v>67</v>
      </c>
      <c r="C42" s="11">
        <v>1000</v>
      </c>
      <c r="D42" s="12"/>
      <c r="E42" s="13"/>
      <c r="F42" s="13"/>
      <c r="G42" s="14"/>
      <c r="H42" s="27">
        <f t="shared" si="8"/>
        <v>1000</v>
      </c>
      <c r="I42" s="48"/>
      <c r="J42" s="51"/>
      <c r="K42" s="17">
        <f t="shared" ref="K42" si="34">1000/10</f>
        <v>100</v>
      </c>
      <c r="L42" s="17">
        <f t="shared" si="33"/>
        <v>100</v>
      </c>
      <c r="M42" s="17">
        <f t="shared" si="33"/>
        <v>100</v>
      </c>
      <c r="N42" s="17">
        <f t="shared" si="33"/>
        <v>100</v>
      </c>
      <c r="O42" s="17">
        <f t="shared" si="33"/>
        <v>100</v>
      </c>
      <c r="P42" s="17">
        <f t="shared" si="33"/>
        <v>100</v>
      </c>
      <c r="Q42" s="17">
        <f t="shared" si="33"/>
        <v>100</v>
      </c>
      <c r="R42" s="17">
        <f t="shared" si="33"/>
        <v>100</v>
      </c>
      <c r="S42" s="17">
        <f t="shared" si="33"/>
        <v>100</v>
      </c>
      <c r="T42" s="17">
        <f t="shared" si="33"/>
        <v>100</v>
      </c>
      <c r="U42" s="11">
        <f t="shared" si="10"/>
        <v>1000</v>
      </c>
      <c r="V42" s="11">
        <f t="shared" si="11"/>
        <v>0</v>
      </c>
    </row>
    <row r="43" spans="1:22" ht="13.5" thickBot="1" x14ac:dyDescent="0.3">
      <c r="A43" s="6"/>
      <c r="B43" s="7"/>
      <c r="C43" s="19"/>
      <c r="D43" s="20"/>
      <c r="E43" s="21"/>
      <c r="F43" s="21"/>
      <c r="G43" s="22"/>
      <c r="H43" s="40"/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4"/>
      <c r="U43" s="45"/>
      <c r="V43" s="19"/>
    </row>
    <row r="44" spans="1:22" ht="13.5" thickBot="1" x14ac:dyDescent="0.3">
      <c r="A44" s="75" t="s">
        <v>26</v>
      </c>
      <c r="B44" s="76"/>
      <c r="C44" s="23">
        <f t="shared" ref="C44:V44" si="35">SUM(C22:C43)</f>
        <v>103103000</v>
      </c>
      <c r="D44" s="24">
        <f t="shared" si="35"/>
        <v>12212101</v>
      </c>
      <c r="E44" s="25">
        <f t="shared" si="35"/>
        <v>0</v>
      </c>
      <c r="F44" s="25">
        <f t="shared" si="35"/>
        <v>0</v>
      </c>
      <c r="G44" s="26">
        <f t="shared" si="35"/>
        <v>0</v>
      </c>
      <c r="H44" s="23">
        <f t="shared" si="35"/>
        <v>115315101</v>
      </c>
      <c r="I44" s="37">
        <f t="shared" si="35"/>
        <v>507146</v>
      </c>
      <c r="J44" s="38">
        <f t="shared" si="35"/>
        <v>475357</v>
      </c>
      <c r="K44" s="38">
        <f t="shared" si="35"/>
        <v>8823698.1999999993</v>
      </c>
      <c r="L44" s="38">
        <f t="shared" si="35"/>
        <v>8823698.1999999993</v>
      </c>
      <c r="M44" s="38">
        <f t="shared" si="35"/>
        <v>8823698.1999999993</v>
      </c>
      <c r="N44" s="38">
        <f t="shared" si="35"/>
        <v>8823698.1999999993</v>
      </c>
      <c r="O44" s="38">
        <f t="shared" si="35"/>
        <v>15623698.200000003</v>
      </c>
      <c r="P44" s="38">
        <f t="shared" si="35"/>
        <v>15623698.200000003</v>
      </c>
      <c r="Q44" s="38">
        <f t="shared" si="35"/>
        <v>15623698.200000003</v>
      </c>
      <c r="R44" s="38">
        <f t="shared" si="35"/>
        <v>15623698.200000003</v>
      </c>
      <c r="S44" s="38">
        <f t="shared" si="35"/>
        <v>15623698.200000003</v>
      </c>
      <c r="T44" s="39">
        <f t="shared" si="35"/>
        <v>919314.2</v>
      </c>
      <c r="U44" s="23">
        <f t="shared" si="35"/>
        <v>115315101</v>
      </c>
      <c r="V44" s="23">
        <f t="shared" si="35"/>
        <v>0</v>
      </c>
    </row>
  </sheetData>
  <mergeCells count="67">
    <mergeCell ref="V20:V21"/>
    <mergeCell ref="A44:B44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4" orientation="landscape" r:id="rId1"/>
  <headerFooter>
    <oddFooter>&amp;L&amp;F&amp;C&amp;A&amp;R&amp;P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>
      <selection activeCell="N9" sqref="N9"/>
    </sheetView>
  </sheetViews>
  <sheetFormatPr baseColWidth="10" defaultColWidth="11.42578125" defaultRowHeight="12.75" x14ac:dyDescent="0.25"/>
  <cols>
    <col min="1" max="1" width="10.7109375" style="1" customWidth="1"/>
    <col min="2" max="2" width="14.7109375" style="1" customWidth="1"/>
    <col min="3" max="3" width="11.7109375" style="1" customWidth="1"/>
    <col min="4" max="4" width="10.7109375" style="1" customWidth="1"/>
    <col min="5" max="7" width="3.85546875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3" width="9.7109375" style="1" customWidth="1"/>
    <col min="14" max="14" width="9.85546875" style="1" customWidth="1"/>
    <col min="15" max="19" width="10.7109375" style="1" customWidth="1"/>
    <col min="20" max="20" width="8.7109375" style="1" customWidth="1"/>
    <col min="21" max="21" width="11.7109375" style="1" customWidth="1"/>
    <col min="22" max="22" width="3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114.7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29">
        <f>3120000/8</f>
        <v>390000</v>
      </c>
      <c r="M8" s="29">
        <f t="shared" ref="M8:S8" si="0">3120000/8</f>
        <v>390000</v>
      </c>
      <c r="N8" s="29">
        <f t="shared" si="0"/>
        <v>390000</v>
      </c>
      <c r="O8" s="29">
        <f t="shared" si="0"/>
        <v>390000</v>
      </c>
      <c r="P8" s="29">
        <f t="shared" si="0"/>
        <v>390000</v>
      </c>
      <c r="Q8" s="29">
        <f t="shared" si="0"/>
        <v>390000</v>
      </c>
      <c r="R8" s="29">
        <f t="shared" si="0"/>
        <v>390000</v>
      </c>
      <c r="S8" s="29">
        <f t="shared" si="0"/>
        <v>390000</v>
      </c>
      <c r="T8" s="41"/>
      <c r="U8" s="42">
        <f>SUM(I8:T8)</f>
        <v>4000000</v>
      </c>
      <c r="V8" s="11">
        <f>H8-U8</f>
        <v>0</v>
      </c>
    </row>
    <row r="9" spans="1:22" ht="51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1">C9+D9-F9</f>
        <v>3000000</v>
      </c>
      <c r="I9" s="48">
        <v>682000</v>
      </c>
      <c r="J9" s="51">
        <v>469000</v>
      </c>
      <c r="K9" s="51">
        <v>299000</v>
      </c>
      <c r="L9" s="17">
        <f>1550000/9</f>
        <v>172222.22222222222</v>
      </c>
      <c r="M9" s="17">
        <f t="shared" ref="M9:T9" si="2">1550000/9</f>
        <v>172222.22222222222</v>
      </c>
      <c r="N9" s="17">
        <f t="shared" si="2"/>
        <v>172222.22222222222</v>
      </c>
      <c r="O9" s="17">
        <f t="shared" si="2"/>
        <v>172222.22222222222</v>
      </c>
      <c r="P9" s="17">
        <f t="shared" si="2"/>
        <v>172222.22222222222</v>
      </c>
      <c r="Q9" s="17">
        <f t="shared" si="2"/>
        <v>172222.22222222222</v>
      </c>
      <c r="R9" s="17">
        <f t="shared" si="2"/>
        <v>172222.22222222222</v>
      </c>
      <c r="S9" s="17">
        <f t="shared" si="2"/>
        <v>172222.22222222222</v>
      </c>
      <c r="T9" s="17">
        <f t="shared" si="2"/>
        <v>172222.22222222222</v>
      </c>
      <c r="U9" s="15">
        <f t="shared" ref="U9:U16" si="3">SUM(I9:T9)</f>
        <v>2999999.9999999991</v>
      </c>
      <c r="V9" s="15">
        <f t="shared" ref="V9:V16" si="4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/>
      <c r="E10" s="84"/>
      <c r="F10" s="84"/>
      <c r="G10" s="85"/>
      <c r="H10" s="32">
        <f t="shared" si="1"/>
        <v>62000000</v>
      </c>
      <c r="I10" s="48"/>
      <c r="J10" s="51"/>
      <c r="K10" s="51"/>
      <c r="L10" s="17">
        <v>62000000</v>
      </c>
      <c r="M10" s="17"/>
      <c r="N10" s="17"/>
      <c r="O10" s="17"/>
      <c r="P10" s="17"/>
      <c r="Q10" s="17"/>
      <c r="R10" s="17"/>
      <c r="S10" s="17"/>
      <c r="T10" s="43"/>
      <c r="U10" s="15">
        <f t="shared" si="3"/>
        <v>62000000</v>
      </c>
      <c r="V10" s="15">
        <f t="shared" si="4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/>
      <c r="G11" s="85"/>
      <c r="H11" s="32">
        <f t="shared" si="1"/>
        <v>34000000</v>
      </c>
      <c r="I11" s="48"/>
      <c r="J11" s="51"/>
      <c r="K11" s="51"/>
      <c r="L11" s="17"/>
      <c r="M11" s="17"/>
      <c r="N11" s="17"/>
      <c r="O11" s="17">
        <v>34000000</v>
      </c>
      <c r="P11" s="17"/>
      <c r="Q11" s="17"/>
      <c r="R11" s="17"/>
      <c r="S11" s="17"/>
      <c r="T11" s="43"/>
      <c r="U11" s="15">
        <f t="shared" si="3"/>
        <v>34000000</v>
      </c>
      <c r="V11" s="15">
        <f t="shared" si="4"/>
        <v>0</v>
      </c>
    </row>
    <row r="12" spans="1:22" ht="25.5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1"/>
        <v>100000</v>
      </c>
      <c r="I12" s="48">
        <v>459</v>
      </c>
      <c r="J12" s="51">
        <v>413</v>
      </c>
      <c r="K12" s="51">
        <v>75.48</v>
      </c>
      <c r="L12" s="17">
        <f>99052.52/9</f>
        <v>11005.835555555555</v>
      </c>
      <c r="M12" s="17">
        <f t="shared" ref="M12:T12" si="5">99052.52/9</f>
        <v>11005.835555555555</v>
      </c>
      <c r="N12" s="17">
        <f t="shared" si="5"/>
        <v>11005.835555555555</v>
      </c>
      <c r="O12" s="17">
        <f t="shared" si="5"/>
        <v>11005.835555555555</v>
      </c>
      <c r="P12" s="17">
        <f t="shared" si="5"/>
        <v>11005.835555555555</v>
      </c>
      <c r="Q12" s="17">
        <f t="shared" si="5"/>
        <v>11005.835555555555</v>
      </c>
      <c r="R12" s="17">
        <f t="shared" si="5"/>
        <v>11005.835555555555</v>
      </c>
      <c r="S12" s="17">
        <f t="shared" si="5"/>
        <v>11005.835555555555</v>
      </c>
      <c r="T12" s="17">
        <f t="shared" si="5"/>
        <v>11005.835555555555</v>
      </c>
      <c r="U12" s="15">
        <f t="shared" si="3"/>
        <v>100000.00000000001</v>
      </c>
      <c r="V12" s="15">
        <f t="shared" si="4"/>
        <v>0</v>
      </c>
    </row>
    <row r="13" spans="1:22" ht="25.5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1"/>
        <v>4374645</v>
      </c>
      <c r="I13" s="49"/>
      <c r="J13" s="52">
        <v>4373645</v>
      </c>
      <c r="K13" s="52"/>
      <c r="L13" s="21">
        <v>1000</v>
      </c>
      <c r="M13" s="21"/>
      <c r="N13" s="21"/>
      <c r="O13" s="21"/>
      <c r="P13" s="21"/>
      <c r="Q13" s="21"/>
      <c r="R13" s="21"/>
      <c r="S13" s="21"/>
      <c r="T13" s="46"/>
      <c r="U13" s="15">
        <f t="shared" si="3"/>
        <v>4374645</v>
      </c>
      <c r="V13" s="15">
        <f t="shared" si="4"/>
        <v>0</v>
      </c>
    </row>
    <row r="14" spans="1:22" ht="25.5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1"/>
        <v>959084</v>
      </c>
      <c r="I14" s="49"/>
      <c r="J14" s="52">
        <v>958084</v>
      </c>
      <c r="K14" s="52"/>
      <c r="L14" s="21">
        <v>1000</v>
      </c>
      <c r="M14" s="21"/>
      <c r="N14" s="21"/>
      <c r="O14" s="21"/>
      <c r="P14" s="21"/>
      <c r="Q14" s="21"/>
      <c r="R14" s="21"/>
      <c r="S14" s="21"/>
      <c r="T14" s="46"/>
      <c r="U14" s="15">
        <f t="shared" si="3"/>
        <v>959084</v>
      </c>
      <c r="V14" s="15">
        <f t="shared" si="4"/>
        <v>0</v>
      </c>
    </row>
    <row r="15" spans="1:22" ht="25.5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1"/>
        <v>6881372</v>
      </c>
      <c r="I15" s="49"/>
      <c r="J15" s="52">
        <v>6880372</v>
      </c>
      <c r="K15" s="52"/>
      <c r="L15" s="21">
        <v>1000</v>
      </c>
      <c r="M15" s="21"/>
      <c r="N15" s="21"/>
      <c r="O15" s="21"/>
      <c r="P15" s="21"/>
      <c r="Q15" s="21"/>
      <c r="R15" s="21"/>
      <c r="S15" s="21"/>
      <c r="T15" s="46"/>
      <c r="U15" s="15">
        <f t="shared" si="3"/>
        <v>6881372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3"/>
        <v>0</v>
      </c>
      <c r="V16" s="15">
        <f t="shared" si="4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12212101</v>
      </c>
      <c r="E17" s="81"/>
      <c r="F17" s="80">
        <f>SUM(F8:G16)</f>
        <v>0</v>
      </c>
      <c r="G17" s="81"/>
      <c r="H17" s="23">
        <f t="shared" ref="H17:V17" si="6">SUM(H8:H16)</f>
        <v>115315101</v>
      </c>
      <c r="I17" s="37">
        <f t="shared" si="6"/>
        <v>682459</v>
      </c>
      <c r="J17" s="38">
        <f t="shared" si="6"/>
        <v>13561514</v>
      </c>
      <c r="K17" s="38">
        <f t="shared" si="6"/>
        <v>299075.48</v>
      </c>
      <c r="L17" s="38">
        <f t="shared" si="6"/>
        <v>62576228.057777777</v>
      </c>
      <c r="M17" s="38">
        <f t="shared" si="6"/>
        <v>573228.05777777778</v>
      </c>
      <c r="N17" s="38">
        <f t="shared" si="6"/>
        <v>573228.05777777778</v>
      </c>
      <c r="O17" s="38">
        <f t="shared" si="6"/>
        <v>34573228.057777777</v>
      </c>
      <c r="P17" s="38">
        <f t="shared" si="6"/>
        <v>573228.05777777778</v>
      </c>
      <c r="Q17" s="38">
        <f t="shared" si="6"/>
        <v>573228.05777777778</v>
      </c>
      <c r="R17" s="38">
        <f t="shared" si="6"/>
        <v>573228.05777777778</v>
      </c>
      <c r="S17" s="38">
        <f t="shared" si="6"/>
        <v>573228.05777777778</v>
      </c>
      <c r="T17" s="39">
        <f t="shared" si="6"/>
        <v>183228.05777777778</v>
      </c>
      <c r="U17" s="23">
        <f t="shared" si="6"/>
        <v>115315101</v>
      </c>
      <c r="V17" s="23">
        <f t="shared" si="6"/>
        <v>0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90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/>
      <c r="E22" s="13"/>
      <c r="F22" s="13"/>
      <c r="G22" s="14"/>
      <c r="H22" s="27">
        <f>C22+D22-E22+F22-G22</f>
        <v>9700000</v>
      </c>
      <c r="I22" s="47"/>
      <c r="J22" s="50"/>
      <c r="K22" s="50"/>
      <c r="L22" s="29"/>
      <c r="M22" s="29"/>
      <c r="N22" s="29"/>
      <c r="O22" s="29">
        <f>9700000/5</f>
        <v>1940000</v>
      </c>
      <c r="P22" s="29">
        <f t="shared" ref="P22:S22" si="7">9700000/5</f>
        <v>1940000</v>
      </c>
      <c r="Q22" s="29">
        <f t="shared" si="7"/>
        <v>1940000</v>
      </c>
      <c r="R22" s="29">
        <f t="shared" si="7"/>
        <v>1940000</v>
      </c>
      <c r="S22" s="29">
        <f t="shared" si="7"/>
        <v>1940000</v>
      </c>
      <c r="T22" s="41"/>
      <c r="U22" s="42">
        <f>SUM(I22:T22)</f>
        <v>9700000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2" si="8">C23+D23-E23+F23-G23</f>
        <v>4400000</v>
      </c>
      <c r="I23" s="48"/>
      <c r="J23" s="51"/>
      <c r="K23" s="51"/>
      <c r="L23" s="17"/>
      <c r="M23" s="17"/>
      <c r="N23" s="17"/>
      <c r="O23" s="17">
        <f>4400000/5</f>
        <v>880000</v>
      </c>
      <c r="P23" s="17">
        <f t="shared" ref="P23:S23" si="9">4400000/5</f>
        <v>880000</v>
      </c>
      <c r="Q23" s="17">
        <f t="shared" si="9"/>
        <v>880000</v>
      </c>
      <c r="R23" s="17">
        <f t="shared" si="9"/>
        <v>880000</v>
      </c>
      <c r="S23" s="17">
        <f t="shared" si="9"/>
        <v>880000</v>
      </c>
      <c r="T23" s="43"/>
      <c r="U23" s="11">
        <f t="shared" ref="U23:U42" si="10">SUM(I23:T23)</f>
        <v>4400000</v>
      </c>
      <c r="V23" s="11">
        <f t="shared" ref="V23:V42" si="11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8"/>
        <v>14100000</v>
      </c>
      <c r="I24" s="48"/>
      <c r="J24" s="51"/>
      <c r="K24" s="51"/>
      <c r="L24" s="17">
        <f>14100000/8</f>
        <v>1762500</v>
      </c>
      <c r="M24" s="17">
        <f t="shared" ref="M24:S24" si="12">14100000/8</f>
        <v>1762500</v>
      </c>
      <c r="N24" s="17">
        <f t="shared" si="12"/>
        <v>1762500</v>
      </c>
      <c r="O24" s="17">
        <f t="shared" si="12"/>
        <v>1762500</v>
      </c>
      <c r="P24" s="17">
        <f t="shared" si="12"/>
        <v>1762500</v>
      </c>
      <c r="Q24" s="17">
        <f t="shared" si="12"/>
        <v>1762500</v>
      </c>
      <c r="R24" s="17">
        <f t="shared" si="12"/>
        <v>1762500</v>
      </c>
      <c r="S24" s="17">
        <f t="shared" si="12"/>
        <v>1762500</v>
      </c>
      <c r="T24" s="43"/>
      <c r="U24" s="11">
        <f t="shared" si="10"/>
        <v>14100000</v>
      </c>
      <c r="V24" s="11">
        <f t="shared" si="11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8"/>
        <v>1000</v>
      </c>
      <c r="I25" s="48"/>
      <c r="J25" s="51"/>
      <c r="K25" s="51"/>
      <c r="L25" s="17">
        <f>1000/8</f>
        <v>125</v>
      </c>
      <c r="M25" s="17">
        <f t="shared" ref="M25:S25" si="13">1000/8</f>
        <v>125</v>
      </c>
      <c r="N25" s="17">
        <f t="shared" si="13"/>
        <v>125</v>
      </c>
      <c r="O25" s="17">
        <f t="shared" si="13"/>
        <v>125</v>
      </c>
      <c r="P25" s="17">
        <f t="shared" si="13"/>
        <v>125</v>
      </c>
      <c r="Q25" s="17">
        <f t="shared" si="13"/>
        <v>125</v>
      </c>
      <c r="R25" s="17">
        <f t="shared" si="13"/>
        <v>125</v>
      </c>
      <c r="S25" s="17">
        <f t="shared" si="13"/>
        <v>125</v>
      </c>
      <c r="T25" s="43"/>
      <c r="U25" s="11">
        <f t="shared" si="10"/>
        <v>1000</v>
      </c>
      <c r="V25" s="11">
        <f t="shared" si="11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/>
      <c r="E26" s="13"/>
      <c r="F26" s="13"/>
      <c r="G26" s="14"/>
      <c r="H26" s="27">
        <f t="shared" si="8"/>
        <v>14200000</v>
      </c>
      <c r="I26" s="48"/>
      <c r="J26" s="51"/>
      <c r="K26" s="51"/>
      <c r="L26" s="17">
        <f>14200000/8</f>
        <v>1775000</v>
      </c>
      <c r="M26" s="17">
        <f t="shared" ref="M26:S26" si="14">14200000/8</f>
        <v>1775000</v>
      </c>
      <c r="N26" s="17">
        <f t="shared" si="14"/>
        <v>1775000</v>
      </c>
      <c r="O26" s="17">
        <f t="shared" si="14"/>
        <v>1775000</v>
      </c>
      <c r="P26" s="17">
        <f t="shared" si="14"/>
        <v>1775000</v>
      </c>
      <c r="Q26" s="17">
        <f t="shared" si="14"/>
        <v>1775000</v>
      </c>
      <c r="R26" s="17">
        <f t="shared" si="14"/>
        <v>1775000</v>
      </c>
      <c r="S26" s="17">
        <f t="shared" si="14"/>
        <v>1775000</v>
      </c>
      <c r="T26" s="43"/>
      <c r="U26" s="11">
        <f t="shared" si="10"/>
        <v>14200000</v>
      </c>
      <c r="V26" s="11">
        <f t="shared" si="11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/>
      <c r="F27" s="13"/>
      <c r="G27" s="14"/>
      <c r="H27" s="27">
        <f t="shared" si="8"/>
        <v>11600000</v>
      </c>
      <c r="I27" s="48"/>
      <c r="J27" s="51"/>
      <c r="K27" s="51"/>
      <c r="L27" s="17"/>
      <c r="M27" s="17"/>
      <c r="N27" s="17"/>
      <c r="O27" s="17">
        <f>11600000/5</f>
        <v>2320000</v>
      </c>
      <c r="P27" s="17">
        <f t="shared" ref="P27:S27" si="15">11600000/5</f>
        <v>2320000</v>
      </c>
      <c r="Q27" s="17">
        <f t="shared" si="15"/>
        <v>2320000</v>
      </c>
      <c r="R27" s="17">
        <f t="shared" si="15"/>
        <v>2320000</v>
      </c>
      <c r="S27" s="17">
        <f t="shared" si="15"/>
        <v>2320000</v>
      </c>
      <c r="T27" s="43"/>
      <c r="U27" s="11">
        <f t="shared" si="10"/>
        <v>11600000</v>
      </c>
      <c r="V27" s="11">
        <f t="shared" si="11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8"/>
        <v>958084</v>
      </c>
      <c r="I28" s="48"/>
      <c r="J28" s="51"/>
      <c r="K28" s="51"/>
      <c r="L28" s="17">
        <f>958084/8</f>
        <v>119760.5</v>
      </c>
      <c r="M28" s="17">
        <f t="shared" ref="M28:S28" si="16">958084/8</f>
        <v>119760.5</v>
      </c>
      <c r="N28" s="17">
        <f t="shared" si="16"/>
        <v>119760.5</v>
      </c>
      <c r="O28" s="17">
        <f t="shared" si="16"/>
        <v>119760.5</v>
      </c>
      <c r="P28" s="17">
        <f t="shared" si="16"/>
        <v>119760.5</v>
      </c>
      <c r="Q28" s="17">
        <f t="shared" si="16"/>
        <v>119760.5</v>
      </c>
      <c r="R28" s="17">
        <f t="shared" si="16"/>
        <v>119760.5</v>
      </c>
      <c r="S28" s="17">
        <f t="shared" si="16"/>
        <v>119760.5</v>
      </c>
      <c r="T28" s="43"/>
      <c r="U28" s="11">
        <f t="shared" si="10"/>
        <v>958084</v>
      </c>
      <c r="V28" s="11">
        <f t="shared" si="11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8"/>
        <v>6880372</v>
      </c>
      <c r="I29" s="48"/>
      <c r="J29" s="51"/>
      <c r="K29" s="51"/>
      <c r="L29" s="17">
        <f>6880372/8</f>
        <v>860046.5</v>
      </c>
      <c r="M29" s="17">
        <f t="shared" ref="M29:S29" si="17">6880372/8</f>
        <v>860046.5</v>
      </c>
      <c r="N29" s="17">
        <f t="shared" si="17"/>
        <v>860046.5</v>
      </c>
      <c r="O29" s="17">
        <f t="shared" si="17"/>
        <v>860046.5</v>
      </c>
      <c r="P29" s="17">
        <f t="shared" si="17"/>
        <v>860046.5</v>
      </c>
      <c r="Q29" s="17">
        <f t="shared" si="17"/>
        <v>860046.5</v>
      </c>
      <c r="R29" s="17">
        <f t="shared" si="17"/>
        <v>860046.5</v>
      </c>
      <c r="S29" s="17">
        <f t="shared" si="17"/>
        <v>860046.5</v>
      </c>
      <c r="T29" s="43"/>
      <c r="U29" s="11">
        <f t="shared" si="10"/>
        <v>6880372</v>
      </c>
      <c r="V29" s="11">
        <f t="shared" si="11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8"/>
        <v>1100000</v>
      </c>
      <c r="I30" s="48">
        <v>181380</v>
      </c>
      <c r="J30" s="51">
        <v>106291</v>
      </c>
      <c r="K30" s="51">
        <v>91273</v>
      </c>
      <c r="L30" s="17">
        <f>721056/9</f>
        <v>80117.333333333328</v>
      </c>
      <c r="M30" s="17">
        <f t="shared" ref="M30:T30" si="18">721056/9</f>
        <v>80117.333333333328</v>
      </c>
      <c r="N30" s="17">
        <f t="shared" si="18"/>
        <v>80117.333333333328</v>
      </c>
      <c r="O30" s="17">
        <f t="shared" si="18"/>
        <v>80117.333333333328</v>
      </c>
      <c r="P30" s="17">
        <f t="shared" si="18"/>
        <v>80117.333333333328</v>
      </c>
      <c r="Q30" s="17">
        <f t="shared" si="18"/>
        <v>80117.333333333328</v>
      </c>
      <c r="R30" s="17">
        <f t="shared" si="18"/>
        <v>80117.333333333328</v>
      </c>
      <c r="S30" s="17">
        <f t="shared" si="18"/>
        <v>80117.333333333328</v>
      </c>
      <c r="T30" s="17">
        <f t="shared" si="18"/>
        <v>80117.333333333328</v>
      </c>
      <c r="U30" s="11">
        <f t="shared" si="10"/>
        <v>1100000.0000000002</v>
      </c>
      <c r="V30" s="11">
        <f t="shared" si="11"/>
        <v>0</v>
      </c>
    </row>
    <row r="31" spans="1:22" ht="38.2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8"/>
        <v>1373645</v>
      </c>
      <c r="I31" s="48"/>
      <c r="J31" s="51"/>
      <c r="K31" s="51"/>
      <c r="L31" s="17">
        <f>1373645/9</f>
        <v>152627.22222222222</v>
      </c>
      <c r="M31" s="17">
        <f t="shared" ref="M31:T31" si="19">1373645/9</f>
        <v>152627.22222222222</v>
      </c>
      <c r="N31" s="17">
        <f t="shared" si="19"/>
        <v>152627.22222222222</v>
      </c>
      <c r="O31" s="17">
        <f t="shared" si="19"/>
        <v>152627.22222222222</v>
      </c>
      <c r="P31" s="17">
        <f t="shared" si="19"/>
        <v>152627.22222222222</v>
      </c>
      <c r="Q31" s="17">
        <f t="shared" si="19"/>
        <v>152627.22222222222</v>
      </c>
      <c r="R31" s="17">
        <f t="shared" si="19"/>
        <v>152627.22222222222</v>
      </c>
      <c r="S31" s="17">
        <f t="shared" si="19"/>
        <v>152627.22222222222</v>
      </c>
      <c r="T31" s="17">
        <f t="shared" si="19"/>
        <v>152627.22222222222</v>
      </c>
      <c r="U31" s="11">
        <f t="shared" si="10"/>
        <v>1373645</v>
      </c>
      <c r="V31" s="11">
        <f t="shared" si="11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/>
      <c r="E32" s="13"/>
      <c r="F32" s="13"/>
      <c r="G32" s="14"/>
      <c r="H32" s="27">
        <f t="shared" si="8"/>
        <v>5000000</v>
      </c>
      <c r="I32" s="48"/>
      <c r="J32" s="51"/>
      <c r="K32" s="51"/>
      <c r="L32" s="17">
        <f>5000000/8</f>
        <v>625000</v>
      </c>
      <c r="M32" s="17">
        <f t="shared" ref="M32:S32" si="20">5000000/8</f>
        <v>625000</v>
      </c>
      <c r="N32" s="17">
        <f t="shared" si="20"/>
        <v>625000</v>
      </c>
      <c r="O32" s="17">
        <f t="shared" si="20"/>
        <v>625000</v>
      </c>
      <c r="P32" s="17">
        <f t="shared" si="20"/>
        <v>625000</v>
      </c>
      <c r="Q32" s="17">
        <f t="shared" si="20"/>
        <v>625000</v>
      </c>
      <c r="R32" s="17">
        <f t="shared" si="20"/>
        <v>625000</v>
      </c>
      <c r="S32" s="17">
        <f t="shared" si="20"/>
        <v>625000</v>
      </c>
      <c r="T32" s="43"/>
      <c r="U32" s="11">
        <f t="shared" si="10"/>
        <v>5000000</v>
      </c>
      <c r="V32" s="11">
        <f t="shared" si="11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51"/>
      <c r="K33" s="51"/>
      <c r="L33" s="17">
        <f>24000000/8</f>
        <v>3000000</v>
      </c>
      <c r="M33" s="17">
        <f t="shared" ref="M33:S33" si="21">24000000/8</f>
        <v>3000000</v>
      </c>
      <c r="N33" s="17">
        <f t="shared" si="21"/>
        <v>3000000</v>
      </c>
      <c r="O33" s="17">
        <f t="shared" si="21"/>
        <v>3000000</v>
      </c>
      <c r="P33" s="17">
        <f t="shared" si="21"/>
        <v>3000000</v>
      </c>
      <c r="Q33" s="17">
        <f t="shared" si="21"/>
        <v>3000000</v>
      </c>
      <c r="R33" s="17">
        <f t="shared" si="21"/>
        <v>3000000</v>
      </c>
      <c r="S33" s="17">
        <f t="shared" si="21"/>
        <v>3000000</v>
      </c>
      <c r="T33" s="43"/>
      <c r="U33" s="11">
        <f t="shared" si="10"/>
        <v>24000000</v>
      </c>
      <c r="V33" s="11">
        <f t="shared" si="11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8"/>
        <v>4300000</v>
      </c>
      <c r="I34" s="48"/>
      <c r="J34" s="51"/>
      <c r="K34" s="51"/>
      <c r="L34" s="17"/>
      <c r="M34" s="17"/>
      <c r="N34" s="17"/>
      <c r="O34" s="17">
        <f>4300000/5</f>
        <v>860000</v>
      </c>
      <c r="P34" s="17">
        <f t="shared" ref="P34:S34" si="22">4300000/5</f>
        <v>860000</v>
      </c>
      <c r="Q34" s="17">
        <f t="shared" si="22"/>
        <v>860000</v>
      </c>
      <c r="R34" s="17">
        <f t="shared" si="22"/>
        <v>860000</v>
      </c>
      <c r="S34" s="17">
        <f t="shared" si="22"/>
        <v>860000</v>
      </c>
      <c r="T34" s="43"/>
      <c r="U34" s="11">
        <f t="shared" si="10"/>
        <v>4300000</v>
      </c>
      <c r="V34" s="11">
        <f t="shared" si="11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8"/>
        <v>3200000</v>
      </c>
      <c r="I35" s="48"/>
      <c r="J35" s="51"/>
      <c r="K35" s="51"/>
      <c r="L35" s="17">
        <f>3200000/8</f>
        <v>400000</v>
      </c>
      <c r="M35" s="17">
        <f t="shared" ref="M35:S35" si="23">3200000/8</f>
        <v>400000</v>
      </c>
      <c r="N35" s="17">
        <f t="shared" si="23"/>
        <v>400000</v>
      </c>
      <c r="O35" s="17">
        <f t="shared" si="23"/>
        <v>400000</v>
      </c>
      <c r="P35" s="17">
        <f t="shared" si="23"/>
        <v>400000</v>
      </c>
      <c r="Q35" s="17">
        <f t="shared" si="23"/>
        <v>400000</v>
      </c>
      <c r="R35" s="17">
        <f t="shared" si="23"/>
        <v>400000</v>
      </c>
      <c r="S35" s="17">
        <f t="shared" si="23"/>
        <v>400000</v>
      </c>
      <c r="T35" s="43"/>
      <c r="U35" s="11">
        <f t="shared" si="10"/>
        <v>3200000</v>
      </c>
      <c r="V35" s="11">
        <f t="shared" si="11"/>
        <v>0</v>
      </c>
    </row>
    <row r="36" spans="1:22" ht="25.5" x14ac:dyDescent="0.25">
      <c r="A36" s="2" t="s">
        <v>81</v>
      </c>
      <c r="B36" s="3" t="s">
        <v>82</v>
      </c>
      <c r="C36" s="11">
        <v>4000000</v>
      </c>
      <c r="D36" s="12"/>
      <c r="E36" s="13"/>
      <c r="F36" s="13"/>
      <c r="G36" s="14"/>
      <c r="H36" s="27">
        <f t="shared" si="8"/>
        <v>4000000</v>
      </c>
      <c r="I36" s="48"/>
      <c r="J36" s="51"/>
      <c r="K36" s="51"/>
      <c r="L36" s="17"/>
      <c r="M36" s="17"/>
      <c r="N36" s="17"/>
      <c r="O36" s="17">
        <f>4000000/5</f>
        <v>800000</v>
      </c>
      <c r="P36" s="17">
        <f t="shared" ref="P36:S36" si="24">4000000/5</f>
        <v>800000</v>
      </c>
      <c r="Q36" s="17">
        <f t="shared" si="24"/>
        <v>800000</v>
      </c>
      <c r="R36" s="17">
        <f t="shared" si="24"/>
        <v>800000</v>
      </c>
      <c r="S36" s="17">
        <f t="shared" si="24"/>
        <v>800000</v>
      </c>
      <c r="T36" s="43"/>
      <c r="U36" s="11">
        <f t="shared" si="10"/>
        <v>4000000</v>
      </c>
      <c r="V36" s="11">
        <f t="shared" si="11"/>
        <v>0</v>
      </c>
    </row>
    <row r="37" spans="1:22" ht="25.5" x14ac:dyDescent="0.25">
      <c r="A37" s="2" t="s">
        <v>83</v>
      </c>
      <c r="B37" s="3" t="s">
        <v>84</v>
      </c>
      <c r="C37" s="11">
        <v>100000</v>
      </c>
      <c r="D37" s="12"/>
      <c r="E37" s="13"/>
      <c r="F37" s="13"/>
      <c r="G37" s="14"/>
      <c r="H37" s="27">
        <f t="shared" si="8"/>
        <v>100000</v>
      </c>
      <c r="I37" s="48"/>
      <c r="J37" s="51"/>
      <c r="K37" s="51"/>
      <c r="L37" s="17">
        <f>100000/8</f>
        <v>12500</v>
      </c>
      <c r="M37" s="17">
        <f t="shared" ref="M37:S37" si="25">100000/8</f>
        <v>12500</v>
      </c>
      <c r="N37" s="17">
        <f t="shared" si="25"/>
        <v>12500</v>
      </c>
      <c r="O37" s="17">
        <f t="shared" si="25"/>
        <v>12500</v>
      </c>
      <c r="P37" s="17">
        <f t="shared" si="25"/>
        <v>12500</v>
      </c>
      <c r="Q37" s="17">
        <f t="shared" si="25"/>
        <v>12500</v>
      </c>
      <c r="R37" s="17">
        <f t="shared" si="25"/>
        <v>12500</v>
      </c>
      <c r="S37" s="17">
        <f t="shared" si="25"/>
        <v>12500</v>
      </c>
      <c r="T37" s="43"/>
      <c r="U37" s="11">
        <f t="shared" si="10"/>
        <v>100000</v>
      </c>
      <c r="V37" s="11">
        <f t="shared" si="11"/>
        <v>0</v>
      </c>
    </row>
    <row r="38" spans="1:22" ht="38.25" x14ac:dyDescent="0.25">
      <c r="A38" s="2" t="s">
        <v>60</v>
      </c>
      <c r="B38" s="3" t="s">
        <v>61</v>
      </c>
      <c r="C38" s="11">
        <v>2700000</v>
      </c>
      <c r="D38" s="12"/>
      <c r="E38" s="13"/>
      <c r="F38" s="13"/>
      <c r="G38" s="14"/>
      <c r="H38" s="27">
        <f t="shared" si="8"/>
        <v>2700000</v>
      </c>
      <c r="I38" s="48"/>
      <c r="J38" s="51"/>
      <c r="K38" s="51"/>
      <c r="L38" s="17">
        <f>2700000/8</f>
        <v>337500</v>
      </c>
      <c r="M38" s="17">
        <f t="shared" ref="M38:S38" si="26">2700000/8</f>
        <v>337500</v>
      </c>
      <c r="N38" s="17">
        <f t="shared" si="26"/>
        <v>337500</v>
      </c>
      <c r="O38" s="17">
        <f t="shared" si="26"/>
        <v>337500</v>
      </c>
      <c r="P38" s="17">
        <f t="shared" si="26"/>
        <v>337500</v>
      </c>
      <c r="Q38" s="17">
        <f t="shared" si="26"/>
        <v>337500</v>
      </c>
      <c r="R38" s="17">
        <f t="shared" si="26"/>
        <v>337500</v>
      </c>
      <c r="S38" s="17">
        <f t="shared" si="26"/>
        <v>337500</v>
      </c>
      <c r="T38" s="43"/>
      <c r="U38" s="11">
        <f t="shared" si="10"/>
        <v>2700000</v>
      </c>
      <c r="V38" s="11">
        <f t="shared" si="11"/>
        <v>0</v>
      </c>
    </row>
    <row r="39" spans="1:22" ht="25.5" x14ac:dyDescent="0.25">
      <c r="A39" s="2" t="s">
        <v>62</v>
      </c>
      <c r="B39" s="3" t="s">
        <v>63</v>
      </c>
      <c r="C39" s="11">
        <v>4700000</v>
      </c>
      <c r="D39" s="12"/>
      <c r="E39" s="13"/>
      <c r="F39" s="13"/>
      <c r="G39" s="14"/>
      <c r="H39" s="27">
        <f t="shared" si="8"/>
        <v>4700000</v>
      </c>
      <c r="I39" s="48">
        <v>325766</v>
      </c>
      <c r="J39" s="51">
        <v>289469</v>
      </c>
      <c r="K39" s="51"/>
      <c r="L39" s="17">
        <f>4084765/9</f>
        <v>453862.77777777775</v>
      </c>
      <c r="M39" s="17">
        <f t="shared" ref="M39:T39" si="27">4084765/9</f>
        <v>453862.77777777775</v>
      </c>
      <c r="N39" s="17">
        <f t="shared" si="27"/>
        <v>453862.77777777775</v>
      </c>
      <c r="O39" s="17">
        <f t="shared" si="27"/>
        <v>453862.77777777775</v>
      </c>
      <c r="P39" s="17">
        <f t="shared" si="27"/>
        <v>453862.77777777775</v>
      </c>
      <c r="Q39" s="17">
        <f t="shared" si="27"/>
        <v>453862.77777777775</v>
      </c>
      <c r="R39" s="17">
        <f t="shared" si="27"/>
        <v>453862.77777777775</v>
      </c>
      <c r="S39" s="17">
        <f t="shared" si="27"/>
        <v>453862.77777777775</v>
      </c>
      <c r="T39" s="17">
        <f t="shared" si="27"/>
        <v>453862.77777777775</v>
      </c>
      <c r="U39" s="11">
        <f t="shared" si="10"/>
        <v>4700000.0000000009</v>
      </c>
      <c r="V39" s="11">
        <f t="shared" si="11"/>
        <v>0</v>
      </c>
    </row>
    <row r="40" spans="1:22" ht="38.25" x14ac:dyDescent="0.25">
      <c r="A40" s="2" t="s">
        <v>85</v>
      </c>
      <c r="B40" s="3" t="s">
        <v>86</v>
      </c>
      <c r="C40" s="11">
        <v>0</v>
      </c>
      <c r="D40" s="12">
        <v>3000000</v>
      </c>
      <c r="E40" s="13"/>
      <c r="F40" s="13"/>
      <c r="G40" s="14"/>
      <c r="H40" s="27">
        <f t="shared" si="8"/>
        <v>3000000</v>
      </c>
      <c r="I40" s="48"/>
      <c r="J40" s="51">
        <v>79597</v>
      </c>
      <c r="K40" s="51">
        <v>278851</v>
      </c>
      <c r="L40" s="17">
        <f>2641552/9</f>
        <v>293505.77777777775</v>
      </c>
      <c r="M40" s="17">
        <f t="shared" ref="M40:T40" si="28">2641552/9</f>
        <v>293505.77777777775</v>
      </c>
      <c r="N40" s="17">
        <f t="shared" si="28"/>
        <v>293505.77777777775</v>
      </c>
      <c r="O40" s="17">
        <f t="shared" si="28"/>
        <v>293505.77777777775</v>
      </c>
      <c r="P40" s="17">
        <f t="shared" si="28"/>
        <v>293505.77777777775</v>
      </c>
      <c r="Q40" s="17">
        <f t="shared" si="28"/>
        <v>293505.77777777775</v>
      </c>
      <c r="R40" s="17">
        <f t="shared" si="28"/>
        <v>293505.77777777775</v>
      </c>
      <c r="S40" s="17">
        <f t="shared" si="28"/>
        <v>293505.77777777775</v>
      </c>
      <c r="T40" s="17">
        <f t="shared" si="28"/>
        <v>293505.77777777775</v>
      </c>
      <c r="U40" s="11">
        <f t="shared" si="10"/>
        <v>3000000</v>
      </c>
      <c r="V40" s="11">
        <f t="shared" si="11"/>
        <v>0</v>
      </c>
    </row>
    <row r="41" spans="1:22" ht="38.25" x14ac:dyDescent="0.25">
      <c r="A41" s="2" t="s">
        <v>64</v>
      </c>
      <c r="B41" s="3" t="s">
        <v>65</v>
      </c>
      <c r="C41" s="11">
        <v>1000</v>
      </c>
      <c r="D41" s="12"/>
      <c r="E41" s="13"/>
      <c r="F41" s="13"/>
      <c r="G41" s="14"/>
      <c r="H41" s="27">
        <f t="shared" si="8"/>
        <v>1000</v>
      </c>
      <c r="I41" s="48"/>
      <c r="J41" s="51"/>
      <c r="K41" s="51"/>
      <c r="L41" s="17">
        <f>1000/9</f>
        <v>111.11111111111111</v>
      </c>
      <c r="M41" s="17">
        <f t="shared" ref="M41:T42" si="29">1000/9</f>
        <v>111.11111111111111</v>
      </c>
      <c r="N41" s="17">
        <f t="shared" si="29"/>
        <v>111.11111111111111</v>
      </c>
      <c r="O41" s="17">
        <f t="shared" si="29"/>
        <v>111.11111111111111</v>
      </c>
      <c r="P41" s="17">
        <f t="shared" si="29"/>
        <v>111.11111111111111</v>
      </c>
      <c r="Q41" s="17">
        <f t="shared" si="29"/>
        <v>111.11111111111111</v>
      </c>
      <c r="R41" s="17">
        <f t="shared" si="29"/>
        <v>111.11111111111111</v>
      </c>
      <c r="S41" s="17">
        <f t="shared" si="29"/>
        <v>111.11111111111111</v>
      </c>
      <c r="T41" s="17">
        <f t="shared" si="29"/>
        <v>111.11111111111111</v>
      </c>
      <c r="U41" s="11">
        <f t="shared" si="10"/>
        <v>999.99999999999989</v>
      </c>
      <c r="V41" s="11">
        <f t="shared" si="11"/>
        <v>0</v>
      </c>
    </row>
    <row r="42" spans="1:22" ht="25.5" x14ac:dyDescent="0.25">
      <c r="A42" s="2" t="s">
        <v>66</v>
      </c>
      <c r="B42" s="3" t="s">
        <v>67</v>
      </c>
      <c r="C42" s="11">
        <v>1000</v>
      </c>
      <c r="D42" s="12"/>
      <c r="E42" s="13"/>
      <c r="F42" s="13"/>
      <c r="G42" s="14"/>
      <c r="H42" s="27">
        <f t="shared" si="8"/>
        <v>1000</v>
      </c>
      <c r="I42" s="48"/>
      <c r="J42" s="51"/>
      <c r="K42" s="51"/>
      <c r="L42" s="17">
        <f t="shared" ref="L42" si="30">1000/9</f>
        <v>111.11111111111111</v>
      </c>
      <c r="M42" s="17">
        <f t="shared" si="29"/>
        <v>111.11111111111111</v>
      </c>
      <c r="N42" s="17">
        <f t="shared" si="29"/>
        <v>111.11111111111111</v>
      </c>
      <c r="O42" s="17">
        <f t="shared" si="29"/>
        <v>111.11111111111111</v>
      </c>
      <c r="P42" s="17">
        <f t="shared" si="29"/>
        <v>111.11111111111111</v>
      </c>
      <c r="Q42" s="17">
        <f t="shared" si="29"/>
        <v>111.11111111111111</v>
      </c>
      <c r="R42" s="17">
        <f t="shared" si="29"/>
        <v>111.11111111111111</v>
      </c>
      <c r="S42" s="17">
        <f t="shared" si="29"/>
        <v>111.11111111111111</v>
      </c>
      <c r="T42" s="17">
        <f t="shared" si="29"/>
        <v>111.11111111111111</v>
      </c>
      <c r="U42" s="11">
        <f t="shared" si="10"/>
        <v>999.99999999999989</v>
      </c>
      <c r="V42" s="11">
        <f t="shared" si="11"/>
        <v>0</v>
      </c>
    </row>
    <row r="43" spans="1:22" ht="13.5" thickBot="1" x14ac:dyDescent="0.3">
      <c r="A43" s="6"/>
      <c r="B43" s="7"/>
      <c r="C43" s="19"/>
      <c r="D43" s="20"/>
      <c r="E43" s="21"/>
      <c r="F43" s="21"/>
      <c r="G43" s="22"/>
      <c r="H43" s="40"/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4"/>
      <c r="U43" s="45"/>
      <c r="V43" s="19"/>
    </row>
    <row r="44" spans="1:22" ht="13.5" thickBot="1" x14ac:dyDescent="0.3">
      <c r="A44" s="75" t="s">
        <v>26</v>
      </c>
      <c r="B44" s="76"/>
      <c r="C44" s="23">
        <f t="shared" ref="C44:V44" si="31">SUM(C22:C43)</f>
        <v>103103000</v>
      </c>
      <c r="D44" s="24">
        <f t="shared" si="31"/>
        <v>12212101</v>
      </c>
      <c r="E44" s="25">
        <f t="shared" si="31"/>
        <v>0</v>
      </c>
      <c r="F44" s="25">
        <f t="shared" si="31"/>
        <v>0</v>
      </c>
      <c r="G44" s="26">
        <f t="shared" si="31"/>
        <v>0</v>
      </c>
      <c r="H44" s="23">
        <f t="shared" si="31"/>
        <v>115315101</v>
      </c>
      <c r="I44" s="37">
        <f t="shared" si="31"/>
        <v>507146</v>
      </c>
      <c r="J44" s="38">
        <f t="shared" si="31"/>
        <v>475357</v>
      </c>
      <c r="K44" s="38">
        <f t="shared" si="31"/>
        <v>370124</v>
      </c>
      <c r="L44" s="38">
        <f t="shared" si="31"/>
        <v>9872767.3333333358</v>
      </c>
      <c r="M44" s="38">
        <f t="shared" si="31"/>
        <v>9872767.3333333358</v>
      </c>
      <c r="N44" s="38">
        <f t="shared" si="31"/>
        <v>9872767.3333333358</v>
      </c>
      <c r="O44" s="38">
        <f t="shared" si="31"/>
        <v>16672767.333333336</v>
      </c>
      <c r="P44" s="38">
        <f t="shared" si="31"/>
        <v>16672767.333333336</v>
      </c>
      <c r="Q44" s="38">
        <f t="shared" si="31"/>
        <v>16672767.333333336</v>
      </c>
      <c r="R44" s="38">
        <f t="shared" si="31"/>
        <v>16672767.333333336</v>
      </c>
      <c r="S44" s="38">
        <f t="shared" si="31"/>
        <v>16672767.333333336</v>
      </c>
      <c r="T44" s="39">
        <f t="shared" si="31"/>
        <v>980335.33333333326</v>
      </c>
      <c r="U44" s="23">
        <f t="shared" si="31"/>
        <v>115315101</v>
      </c>
      <c r="V44" s="23">
        <f t="shared" si="31"/>
        <v>0</v>
      </c>
    </row>
  </sheetData>
  <mergeCells count="67">
    <mergeCell ref="V20:V21"/>
    <mergeCell ref="A44:B44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4" orientation="landscape" r:id="rId1"/>
  <headerFooter>
    <oddFooter>&amp;L&amp;F&amp;C&amp;A&amp;R&amp;P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activeCell="I17" sqref="I17:T17"/>
    </sheetView>
  </sheetViews>
  <sheetFormatPr baseColWidth="10" defaultColWidth="11.42578125" defaultRowHeight="12.75" x14ac:dyDescent="0.25"/>
  <cols>
    <col min="1" max="1" width="11.42578125" style="1" customWidth="1"/>
    <col min="2" max="2" width="24.28515625" style="1" customWidth="1"/>
    <col min="3" max="3" width="11.7109375" style="1" customWidth="1"/>
    <col min="4" max="4" width="11.42578125" style="1" customWidth="1"/>
    <col min="5" max="7" width="3.85546875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3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51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29">
        <f>2900000/7</f>
        <v>414285.71428571426</v>
      </c>
      <c r="N8" s="29">
        <f t="shared" ref="N8:S8" si="0">2900000/7</f>
        <v>414285.71428571426</v>
      </c>
      <c r="O8" s="29">
        <f t="shared" si="0"/>
        <v>414285.71428571426</v>
      </c>
      <c r="P8" s="29">
        <f t="shared" si="0"/>
        <v>414285.71428571426</v>
      </c>
      <c r="Q8" s="29">
        <f t="shared" si="0"/>
        <v>414285.71428571426</v>
      </c>
      <c r="R8" s="29">
        <f t="shared" si="0"/>
        <v>414285.71428571426</v>
      </c>
      <c r="S8" s="29">
        <f t="shared" si="0"/>
        <v>414285.71428571426</v>
      </c>
      <c r="T8" s="41"/>
      <c r="U8" s="42">
        <f>SUM(I8:T8)</f>
        <v>3999999.9999999991</v>
      </c>
      <c r="V8" s="11">
        <f>H8-U8</f>
        <v>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1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17">
        <f>1449000/8</f>
        <v>181125</v>
      </c>
      <c r="N9" s="17">
        <f t="shared" ref="N9:T9" si="2">1449000/8</f>
        <v>181125</v>
      </c>
      <c r="O9" s="17">
        <f t="shared" si="2"/>
        <v>181125</v>
      </c>
      <c r="P9" s="17">
        <f t="shared" si="2"/>
        <v>181125</v>
      </c>
      <c r="Q9" s="17">
        <f t="shared" si="2"/>
        <v>181125</v>
      </c>
      <c r="R9" s="17">
        <f t="shared" si="2"/>
        <v>181125</v>
      </c>
      <c r="S9" s="17">
        <f t="shared" si="2"/>
        <v>181125</v>
      </c>
      <c r="T9" s="17">
        <f t="shared" si="2"/>
        <v>181125</v>
      </c>
      <c r="U9" s="15">
        <f t="shared" ref="U9:U16" si="3">SUM(I9:T9)</f>
        <v>3000000</v>
      </c>
      <c r="V9" s="15">
        <f t="shared" ref="V9:V16" si="4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1"/>
        <v>88979426</v>
      </c>
      <c r="I10" s="48"/>
      <c r="J10" s="51"/>
      <c r="K10" s="51"/>
      <c r="L10" s="51">
        <v>88979426</v>
      </c>
      <c r="M10" s="17"/>
      <c r="N10" s="17"/>
      <c r="O10" s="17"/>
      <c r="P10" s="17"/>
      <c r="Q10" s="17"/>
      <c r="R10" s="17"/>
      <c r="S10" s="17"/>
      <c r="T10" s="43"/>
      <c r="U10" s="15">
        <f t="shared" si="3"/>
        <v>88979426</v>
      </c>
      <c r="V10" s="15">
        <f t="shared" si="4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/>
      <c r="G11" s="85"/>
      <c r="H11" s="32">
        <f t="shared" si="1"/>
        <v>34000000</v>
      </c>
      <c r="I11" s="48"/>
      <c r="J11" s="51"/>
      <c r="K11" s="51"/>
      <c r="L11" s="51"/>
      <c r="M11" s="17"/>
      <c r="N11" s="17"/>
      <c r="O11" s="17">
        <v>34000000</v>
      </c>
      <c r="P11" s="17"/>
      <c r="Q11" s="17"/>
      <c r="R11" s="17"/>
      <c r="S11" s="17"/>
      <c r="T11" s="43"/>
      <c r="U11" s="15">
        <f t="shared" si="3"/>
        <v>34000000</v>
      </c>
      <c r="V11" s="15">
        <f t="shared" si="4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1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17">
        <f>98651/8</f>
        <v>12331.375</v>
      </c>
      <c r="N12" s="17">
        <f t="shared" ref="N12:T12" si="5">98651/8</f>
        <v>12331.375</v>
      </c>
      <c r="O12" s="17">
        <f t="shared" si="5"/>
        <v>12331.375</v>
      </c>
      <c r="P12" s="17">
        <f t="shared" si="5"/>
        <v>12331.375</v>
      </c>
      <c r="Q12" s="17">
        <f t="shared" si="5"/>
        <v>12331.375</v>
      </c>
      <c r="R12" s="17">
        <f t="shared" si="5"/>
        <v>12331.375</v>
      </c>
      <c r="S12" s="17">
        <f t="shared" si="5"/>
        <v>12331.375</v>
      </c>
      <c r="T12" s="17">
        <f t="shared" si="5"/>
        <v>12331.375</v>
      </c>
      <c r="U12" s="15">
        <f t="shared" si="3"/>
        <v>99999.88</v>
      </c>
      <c r="V12" s="15">
        <f t="shared" si="4"/>
        <v>0.11999999999534339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1"/>
        <v>4374645</v>
      </c>
      <c r="I13" s="49"/>
      <c r="J13" s="52">
        <v>4373645</v>
      </c>
      <c r="K13" s="52"/>
      <c r="L13" s="52"/>
      <c r="M13" s="21">
        <v>1000</v>
      </c>
      <c r="N13" s="21"/>
      <c r="O13" s="21"/>
      <c r="P13" s="21"/>
      <c r="Q13" s="21"/>
      <c r="R13" s="21"/>
      <c r="S13" s="21"/>
      <c r="T13" s="46"/>
      <c r="U13" s="15">
        <f t="shared" si="3"/>
        <v>4374645</v>
      </c>
      <c r="V13" s="15">
        <f t="shared" si="4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1"/>
        <v>959084</v>
      </c>
      <c r="I14" s="49"/>
      <c r="J14" s="52">
        <v>958084</v>
      </c>
      <c r="K14" s="52"/>
      <c r="L14" s="52"/>
      <c r="M14" s="21">
        <v>1000</v>
      </c>
      <c r="N14" s="21"/>
      <c r="O14" s="21"/>
      <c r="P14" s="21"/>
      <c r="Q14" s="21"/>
      <c r="R14" s="21"/>
      <c r="S14" s="21"/>
      <c r="T14" s="46"/>
      <c r="U14" s="15">
        <f t="shared" si="3"/>
        <v>959084</v>
      </c>
      <c r="V14" s="15">
        <f t="shared" si="4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1"/>
        <v>6881372</v>
      </c>
      <c r="I15" s="49"/>
      <c r="J15" s="52">
        <v>6880372</v>
      </c>
      <c r="K15" s="52"/>
      <c r="L15" s="52"/>
      <c r="M15" s="21">
        <v>1000</v>
      </c>
      <c r="N15" s="21"/>
      <c r="O15" s="21"/>
      <c r="P15" s="21"/>
      <c r="Q15" s="21"/>
      <c r="R15" s="21"/>
      <c r="S15" s="21"/>
      <c r="T15" s="46"/>
      <c r="U15" s="15">
        <f t="shared" si="3"/>
        <v>6881372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3"/>
        <v>0</v>
      </c>
      <c r="V16" s="15">
        <f t="shared" si="4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0</v>
      </c>
      <c r="G17" s="81"/>
      <c r="H17" s="23">
        <f t="shared" ref="H17:V17" si="6">SUM(H8:H16)</f>
        <v>142294527</v>
      </c>
      <c r="I17" s="37">
        <f t="shared" si="6"/>
        <v>682459</v>
      </c>
      <c r="J17" s="38">
        <f t="shared" si="6"/>
        <v>13561514</v>
      </c>
      <c r="K17" s="38">
        <f t="shared" si="6"/>
        <v>299075.48</v>
      </c>
      <c r="L17" s="38">
        <f t="shared" si="6"/>
        <v>89300827.400000006</v>
      </c>
      <c r="M17" s="38">
        <f t="shared" si="6"/>
        <v>610742.08928571432</v>
      </c>
      <c r="N17" s="38">
        <f t="shared" si="6"/>
        <v>607742.08928571432</v>
      </c>
      <c r="O17" s="38">
        <f t="shared" si="6"/>
        <v>34607742.089285716</v>
      </c>
      <c r="P17" s="38">
        <f t="shared" si="6"/>
        <v>607742.08928571432</v>
      </c>
      <c r="Q17" s="38">
        <f t="shared" si="6"/>
        <v>607742.08928571432</v>
      </c>
      <c r="R17" s="38">
        <f t="shared" si="6"/>
        <v>607742.08928571432</v>
      </c>
      <c r="S17" s="38">
        <f t="shared" si="6"/>
        <v>607742.08928571432</v>
      </c>
      <c r="T17" s="39">
        <f t="shared" si="6"/>
        <v>193456.375</v>
      </c>
      <c r="U17" s="23">
        <f t="shared" si="6"/>
        <v>142294526.88</v>
      </c>
      <c r="V17" s="23">
        <f t="shared" si="6"/>
        <v>0.11999999999534339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90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>
        <v>7000000</v>
      </c>
      <c r="E22" s="13"/>
      <c r="F22" s="13"/>
      <c r="G22" s="14"/>
      <c r="H22" s="27">
        <f>C22+D22-E22+F22-G22</f>
        <v>16700000</v>
      </c>
      <c r="I22" s="47"/>
      <c r="J22" s="50"/>
      <c r="K22" s="50"/>
      <c r="L22" s="50"/>
      <c r="M22" s="29">
        <f>16700000/7</f>
        <v>2385714.2857142859</v>
      </c>
      <c r="N22" s="29">
        <f t="shared" ref="N22:S22" si="7">16700000/7</f>
        <v>2385714.2857142859</v>
      </c>
      <c r="O22" s="29">
        <f t="shared" si="7"/>
        <v>2385714.2857142859</v>
      </c>
      <c r="P22" s="29">
        <f t="shared" si="7"/>
        <v>2385714.2857142859</v>
      </c>
      <c r="Q22" s="29">
        <f t="shared" si="7"/>
        <v>2385714.2857142859</v>
      </c>
      <c r="R22" s="29">
        <f t="shared" si="7"/>
        <v>2385714.2857142859</v>
      </c>
      <c r="S22" s="29">
        <f t="shared" si="7"/>
        <v>2385714.2857142859</v>
      </c>
      <c r="T22" s="41"/>
      <c r="U22" s="42">
        <f>SUM(I22:T22)</f>
        <v>16700000</v>
      </c>
      <c r="V22" s="11">
        <f>H22-U22</f>
        <v>0</v>
      </c>
    </row>
    <row r="23" spans="1:22" ht="25.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3" si="8">C23+D23-E23+F23-G23</f>
        <v>4400000</v>
      </c>
      <c r="I23" s="48"/>
      <c r="J23" s="51"/>
      <c r="K23" s="51"/>
      <c r="L23" s="51"/>
      <c r="M23" s="17">
        <f>4400000/7</f>
        <v>628571.42857142852</v>
      </c>
      <c r="N23" s="17">
        <f t="shared" ref="N23:S23" si="9">4400000/7</f>
        <v>628571.42857142852</v>
      </c>
      <c r="O23" s="17">
        <f t="shared" si="9"/>
        <v>628571.42857142852</v>
      </c>
      <c r="P23" s="17">
        <f t="shared" si="9"/>
        <v>628571.42857142852</v>
      </c>
      <c r="Q23" s="17">
        <f t="shared" si="9"/>
        <v>628571.42857142852</v>
      </c>
      <c r="R23" s="17">
        <f t="shared" si="9"/>
        <v>628571.42857142852</v>
      </c>
      <c r="S23" s="17">
        <f t="shared" si="9"/>
        <v>628571.42857142852</v>
      </c>
      <c r="T23" s="43"/>
      <c r="U23" s="11">
        <f t="shared" ref="U23:U43" si="10">SUM(I23:T23)</f>
        <v>4400000</v>
      </c>
      <c r="V23" s="11">
        <f t="shared" ref="V23:V43" si="11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8"/>
        <v>14100000</v>
      </c>
      <c r="I24" s="48"/>
      <c r="J24" s="51"/>
      <c r="K24" s="51"/>
      <c r="L24" s="51"/>
      <c r="M24" s="17">
        <f>14100000/7</f>
        <v>2014285.7142857143</v>
      </c>
      <c r="N24" s="17">
        <f t="shared" ref="N24:S24" si="12">14100000/7</f>
        <v>2014285.7142857143</v>
      </c>
      <c r="O24" s="17">
        <f t="shared" si="12"/>
        <v>2014285.7142857143</v>
      </c>
      <c r="P24" s="17">
        <f t="shared" si="12"/>
        <v>2014285.7142857143</v>
      </c>
      <c r="Q24" s="17">
        <f t="shared" si="12"/>
        <v>2014285.7142857143</v>
      </c>
      <c r="R24" s="17">
        <f t="shared" si="12"/>
        <v>2014285.7142857143</v>
      </c>
      <c r="S24" s="17">
        <f t="shared" si="12"/>
        <v>2014285.7142857143</v>
      </c>
      <c r="T24" s="43"/>
      <c r="U24" s="11">
        <f t="shared" si="10"/>
        <v>14100000</v>
      </c>
      <c r="V24" s="11">
        <f t="shared" si="11"/>
        <v>0</v>
      </c>
    </row>
    <row r="25" spans="1:22" ht="25.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8"/>
        <v>1000</v>
      </c>
      <c r="I25" s="48"/>
      <c r="J25" s="51"/>
      <c r="K25" s="51"/>
      <c r="L25" s="51"/>
      <c r="M25" s="17">
        <f>1000/7</f>
        <v>142.85714285714286</v>
      </c>
      <c r="N25" s="17">
        <f t="shared" ref="N25:S25" si="13">1000/7</f>
        <v>142.85714285714286</v>
      </c>
      <c r="O25" s="17">
        <f t="shared" si="13"/>
        <v>142.85714285714286</v>
      </c>
      <c r="P25" s="17">
        <f t="shared" si="13"/>
        <v>142.85714285714286</v>
      </c>
      <c r="Q25" s="17">
        <f t="shared" si="13"/>
        <v>142.85714285714286</v>
      </c>
      <c r="R25" s="17">
        <f t="shared" si="13"/>
        <v>142.85714285714286</v>
      </c>
      <c r="S25" s="17">
        <f t="shared" si="13"/>
        <v>142.85714285714286</v>
      </c>
      <c r="T25" s="43"/>
      <c r="U25" s="11">
        <f t="shared" si="10"/>
        <v>1000.0000000000001</v>
      </c>
      <c r="V25" s="11">
        <f t="shared" si="11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>
        <v>10000000</v>
      </c>
      <c r="E26" s="13"/>
      <c r="F26" s="13"/>
      <c r="G26" s="14"/>
      <c r="H26" s="27">
        <f t="shared" si="8"/>
        <v>24200000</v>
      </c>
      <c r="I26" s="48"/>
      <c r="J26" s="51"/>
      <c r="K26" s="51"/>
      <c r="L26" s="51"/>
      <c r="M26" s="17">
        <f>24200000/7</f>
        <v>3457142.8571428573</v>
      </c>
      <c r="N26" s="17">
        <f t="shared" ref="N26:S26" si="14">24200000/7</f>
        <v>3457142.8571428573</v>
      </c>
      <c r="O26" s="17">
        <f t="shared" si="14"/>
        <v>3457142.8571428573</v>
      </c>
      <c r="P26" s="17">
        <f t="shared" si="14"/>
        <v>3457142.8571428573</v>
      </c>
      <c r="Q26" s="17">
        <f t="shared" si="14"/>
        <v>3457142.8571428573</v>
      </c>
      <c r="R26" s="17">
        <f t="shared" si="14"/>
        <v>3457142.8571428573</v>
      </c>
      <c r="S26" s="17">
        <f t="shared" si="14"/>
        <v>3457142.8571428573</v>
      </c>
      <c r="T26" s="43"/>
      <c r="U26" s="11">
        <f t="shared" si="10"/>
        <v>24200000.000000004</v>
      </c>
      <c r="V26" s="11">
        <f t="shared" si="11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/>
      <c r="F27" s="13"/>
      <c r="G27" s="14"/>
      <c r="H27" s="27">
        <f t="shared" si="8"/>
        <v>11600000</v>
      </c>
      <c r="I27" s="48"/>
      <c r="J27" s="51"/>
      <c r="K27" s="51"/>
      <c r="L27" s="51"/>
      <c r="M27" s="17">
        <f>11600000/7</f>
        <v>1657142.857142857</v>
      </c>
      <c r="N27" s="17">
        <f t="shared" ref="N27:S27" si="15">11600000/7</f>
        <v>1657142.857142857</v>
      </c>
      <c r="O27" s="17">
        <f t="shared" si="15"/>
        <v>1657142.857142857</v>
      </c>
      <c r="P27" s="17">
        <f t="shared" si="15"/>
        <v>1657142.857142857</v>
      </c>
      <c r="Q27" s="17">
        <f t="shared" si="15"/>
        <v>1657142.857142857</v>
      </c>
      <c r="R27" s="17">
        <f t="shared" si="15"/>
        <v>1657142.857142857</v>
      </c>
      <c r="S27" s="17">
        <f t="shared" si="15"/>
        <v>1657142.857142857</v>
      </c>
      <c r="T27" s="43"/>
      <c r="U27" s="11">
        <f t="shared" si="10"/>
        <v>11599999.999999998</v>
      </c>
      <c r="V27" s="11">
        <f t="shared" si="11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8"/>
        <v>958084</v>
      </c>
      <c r="I28" s="48"/>
      <c r="J28" s="51"/>
      <c r="K28" s="51"/>
      <c r="L28" s="51"/>
      <c r="M28" s="17">
        <f>958084/7</f>
        <v>136869.14285714287</v>
      </c>
      <c r="N28" s="17">
        <f t="shared" ref="N28:S28" si="16">958084/7</f>
        <v>136869.14285714287</v>
      </c>
      <c r="O28" s="17">
        <f t="shared" si="16"/>
        <v>136869.14285714287</v>
      </c>
      <c r="P28" s="17">
        <f t="shared" si="16"/>
        <v>136869.14285714287</v>
      </c>
      <c r="Q28" s="17">
        <f t="shared" si="16"/>
        <v>136869.14285714287</v>
      </c>
      <c r="R28" s="17">
        <f t="shared" si="16"/>
        <v>136869.14285714287</v>
      </c>
      <c r="S28" s="17">
        <f t="shared" si="16"/>
        <v>136869.14285714287</v>
      </c>
      <c r="T28" s="43"/>
      <c r="U28" s="11">
        <f t="shared" si="10"/>
        <v>958084</v>
      </c>
      <c r="V28" s="11">
        <f t="shared" si="11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8"/>
        <v>6880372</v>
      </c>
      <c r="I29" s="48"/>
      <c r="J29" s="51"/>
      <c r="K29" s="51"/>
      <c r="L29" s="51"/>
      <c r="M29" s="17">
        <f>6880372/7</f>
        <v>982910.28571428568</v>
      </c>
      <c r="N29" s="17">
        <f t="shared" ref="N29:S29" si="17">6880372/7</f>
        <v>982910.28571428568</v>
      </c>
      <c r="O29" s="17">
        <f t="shared" si="17"/>
        <v>982910.28571428568</v>
      </c>
      <c r="P29" s="17">
        <f t="shared" si="17"/>
        <v>982910.28571428568</v>
      </c>
      <c r="Q29" s="17">
        <f t="shared" si="17"/>
        <v>982910.28571428568</v>
      </c>
      <c r="R29" s="17">
        <f t="shared" si="17"/>
        <v>982910.28571428568</v>
      </c>
      <c r="S29" s="17">
        <f t="shared" si="17"/>
        <v>982910.28571428568</v>
      </c>
      <c r="T29" s="43"/>
      <c r="U29" s="11">
        <f t="shared" si="10"/>
        <v>6880371.9999999991</v>
      </c>
      <c r="V29" s="11">
        <f t="shared" si="11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8"/>
        <v>1100000</v>
      </c>
      <c r="I30" s="48">
        <v>181380</v>
      </c>
      <c r="J30" s="51">
        <v>106291</v>
      </c>
      <c r="K30" s="51">
        <v>91273</v>
      </c>
      <c r="L30" s="51">
        <v>91273</v>
      </c>
      <c r="M30" s="17">
        <f>629783/8</f>
        <v>78722.875</v>
      </c>
      <c r="N30" s="17">
        <f t="shared" ref="N30:T30" si="18">629783/8</f>
        <v>78722.875</v>
      </c>
      <c r="O30" s="17">
        <f t="shared" si="18"/>
        <v>78722.875</v>
      </c>
      <c r="P30" s="17">
        <f t="shared" si="18"/>
        <v>78722.875</v>
      </c>
      <c r="Q30" s="17">
        <f t="shared" si="18"/>
        <v>78722.875</v>
      </c>
      <c r="R30" s="17">
        <f t="shared" si="18"/>
        <v>78722.875</v>
      </c>
      <c r="S30" s="17">
        <f t="shared" si="18"/>
        <v>78722.875</v>
      </c>
      <c r="T30" s="17">
        <f t="shared" si="18"/>
        <v>78722.875</v>
      </c>
      <c r="U30" s="11">
        <f t="shared" si="10"/>
        <v>1100000</v>
      </c>
      <c r="V30" s="11">
        <f t="shared" si="11"/>
        <v>0</v>
      </c>
    </row>
    <row r="31" spans="1:22" ht="25.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8"/>
        <v>1373645</v>
      </c>
      <c r="I31" s="48"/>
      <c r="J31" s="51"/>
      <c r="K31" s="51"/>
      <c r="L31" s="51"/>
      <c r="M31" s="17">
        <f>1373645/8</f>
        <v>171705.625</v>
      </c>
      <c r="N31" s="17">
        <f t="shared" ref="N31:T31" si="19">1373645/8</f>
        <v>171705.625</v>
      </c>
      <c r="O31" s="17">
        <f t="shared" si="19"/>
        <v>171705.625</v>
      </c>
      <c r="P31" s="17">
        <f t="shared" si="19"/>
        <v>171705.625</v>
      </c>
      <c r="Q31" s="17">
        <f t="shared" si="19"/>
        <v>171705.625</v>
      </c>
      <c r="R31" s="17">
        <f t="shared" si="19"/>
        <v>171705.625</v>
      </c>
      <c r="S31" s="17">
        <f t="shared" si="19"/>
        <v>171705.625</v>
      </c>
      <c r="T31" s="17">
        <f t="shared" si="19"/>
        <v>171705.625</v>
      </c>
      <c r="U31" s="11">
        <f t="shared" si="10"/>
        <v>1373645</v>
      </c>
      <c r="V31" s="11">
        <f t="shared" si="11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>
        <v>2000000</v>
      </c>
      <c r="E32" s="13"/>
      <c r="F32" s="13"/>
      <c r="G32" s="14"/>
      <c r="H32" s="27">
        <f t="shared" si="8"/>
        <v>7000000</v>
      </c>
      <c r="I32" s="48"/>
      <c r="J32" s="51"/>
      <c r="K32" s="51"/>
      <c r="L32" s="51"/>
      <c r="M32" s="17">
        <f>7000000/7</f>
        <v>1000000</v>
      </c>
      <c r="N32" s="17">
        <f t="shared" ref="N32:S32" si="20">7000000/7</f>
        <v>1000000</v>
      </c>
      <c r="O32" s="17">
        <f t="shared" si="20"/>
        <v>1000000</v>
      </c>
      <c r="P32" s="17">
        <f t="shared" si="20"/>
        <v>1000000</v>
      </c>
      <c r="Q32" s="17">
        <f t="shared" si="20"/>
        <v>1000000</v>
      </c>
      <c r="R32" s="17">
        <f t="shared" si="20"/>
        <v>1000000</v>
      </c>
      <c r="S32" s="17">
        <f t="shared" si="20"/>
        <v>1000000</v>
      </c>
      <c r="T32" s="43"/>
      <c r="U32" s="11">
        <f t="shared" si="10"/>
        <v>7000000</v>
      </c>
      <c r="V32" s="11">
        <f t="shared" si="11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51"/>
      <c r="K33" s="51"/>
      <c r="L33" s="51">
        <v>7200000</v>
      </c>
      <c r="M33" s="17">
        <f>16800000/7</f>
        <v>2400000</v>
      </c>
      <c r="N33" s="17">
        <f t="shared" ref="N33:S33" si="21">16800000/7</f>
        <v>2400000</v>
      </c>
      <c r="O33" s="17">
        <f t="shared" si="21"/>
        <v>2400000</v>
      </c>
      <c r="P33" s="17">
        <f t="shared" si="21"/>
        <v>2400000</v>
      </c>
      <c r="Q33" s="17">
        <f t="shared" si="21"/>
        <v>2400000</v>
      </c>
      <c r="R33" s="17">
        <f t="shared" si="21"/>
        <v>2400000</v>
      </c>
      <c r="S33" s="17">
        <f t="shared" si="21"/>
        <v>2400000</v>
      </c>
      <c r="T33" s="43"/>
      <c r="U33" s="11">
        <f t="shared" si="10"/>
        <v>24000000</v>
      </c>
      <c r="V33" s="11">
        <f t="shared" si="11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8"/>
        <v>4300000</v>
      </c>
      <c r="I34" s="48"/>
      <c r="J34" s="51"/>
      <c r="K34" s="51"/>
      <c r="L34" s="51"/>
      <c r="M34" s="17"/>
      <c r="N34" s="17"/>
      <c r="O34" s="17">
        <f>4300000/5</f>
        <v>860000</v>
      </c>
      <c r="P34" s="17">
        <f t="shared" ref="P34:S34" si="22">4300000/5</f>
        <v>860000</v>
      </c>
      <c r="Q34" s="17">
        <f t="shared" si="22"/>
        <v>860000</v>
      </c>
      <c r="R34" s="17">
        <f t="shared" si="22"/>
        <v>860000</v>
      </c>
      <c r="S34" s="17">
        <f t="shared" si="22"/>
        <v>860000</v>
      </c>
      <c r="T34" s="43"/>
      <c r="U34" s="11">
        <f t="shared" si="10"/>
        <v>4300000</v>
      </c>
      <c r="V34" s="11">
        <f t="shared" si="11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8"/>
        <v>3200000</v>
      </c>
      <c r="I35" s="48"/>
      <c r="J35" s="51"/>
      <c r="K35" s="51"/>
      <c r="L35" s="51"/>
      <c r="M35" s="17">
        <f>3200000/7</f>
        <v>457142.85714285716</v>
      </c>
      <c r="N35" s="17">
        <f t="shared" ref="N35:S35" si="23">3200000/7</f>
        <v>457142.85714285716</v>
      </c>
      <c r="O35" s="17">
        <f t="shared" si="23"/>
        <v>457142.85714285716</v>
      </c>
      <c r="P35" s="17">
        <f t="shared" si="23"/>
        <v>457142.85714285716</v>
      </c>
      <c r="Q35" s="17">
        <f t="shared" si="23"/>
        <v>457142.85714285716</v>
      </c>
      <c r="R35" s="17">
        <f t="shared" si="23"/>
        <v>457142.85714285716</v>
      </c>
      <c r="S35" s="17">
        <f t="shared" si="23"/>
        <v>457142.85714285716</v>
      </c>
      <c r="T35" s="43"/>
      <c r="U35" s="11">
        <f t="shared" si="10"/>
        <v>3200000.0000000005</v>
      </c>
      <c r="V35" s="11">
        <f t="shared" si="11"/>
        <v>0</v>
      </c>
    </row>
    <row r="36" spans="1:22" ht="25.5" x14ac:dyDescent="0.25">
      <c r="A36" s="2" t="s">
        <v>88</v>
      </c>
      <c r="B36" s="3" t="s">
        <v>87</v>
      </c>
      <c r="C36" s="11">
        <v>0</v>
      </c>
      <c r="D36" s="12">
        <v>7979426</v>
      </c>
      <c r="E36" s="13"/>
      <c r="F36" s="13"/>
      <c r="G36" s="14"/>
      <c r="H36" s="27">
        <f t="shared" ref="H36" si="24">C36+D36-E36+F36-G36</f>
        <v>7979426</v>
      </c>
      <c r="I36" s="48"/>
      <c r="J36" s="51"/>
      <c r="K36" s="51"/>
      <c r="L36" s="51"/>
      <c r="M36" s="17">
        <f>7979426/7</f>
        <v>1139918</v>
      </c>
      <c r="N36" s="17">
        <f t="shared" ref="N36:S36" si="25">7979426/7</f>
        <v>1139918</v>
      </c>
      <c r="O36" s="17">
        <f t="shared" si="25"/>
        <v>1139918</v>
      </c>
      <c r="P36" s="17">
        <f t="shared" si="25"/>
        <v>1139918</v>
      </c>
      <c r="Q36" s="17">
        <f t="shared" si="25"/>
        <v>1139918</v>
      </c>
      <c r="R36" s="17">
        <f t="shared" si="25"/>
        <v>1139918</v>
      </c>
      <c r="S36" s="17">
        <f t="shared" si="25"/>
        <v>1139918</v>
      </c>
      <c r="T36" s="43"/>
      <c r="U36" s="11">
        <f t="shared" ref="U36" si="26">SUM(I36:T36)</f>
        <v>7979426</v>
      </c>
      <c r="V36" s="11">
        <f t="shared" ref="V36" si="27">H36-U36</f>
        <v>0</v>
      </c>
    </row>
    <row r="37" spans="1:22" ht="25.5" x14ac:dyDescent="0.25">
      <c r="A37" s="2" t="s">
        <v>81</v>
      </c>
      <c r="B37" s="3" t="s">
        <v>82</v>
      </c>
      <c r="C37" s="11">
        <v>4000000</v>
      </c>
      <c r="D37" s="12"/>
      <c r="E37" s="13"/>
      <c r="F37" s="13"/>
      <c r="G37" s="14"/>
      <c r="H37" s="27">
        <f t="shared" si="8"/>
        <v>4000000</v>
      </c>
      <c r="I37" s="48"/>
      <c r="J37" s="51"/>
      <c r="K37" s="51"/>
      <c r="L37" s="51"/>
      <c r="M37" s="17"/>
      <c r="N37" s="17"/>
      <c r="O37" s="17">
        <f>4000000/5</f>
        <v>800000</v>
      </c>
      <c r="P37" s="17">
        <f t="shared" ref="P37:S37" si="28">4000000/5</f>
        <v>800000</v>
      </c>
      <c r="Q37" s="17">
        <f t="shared" si="28"/>
        <v>800000</v>
      </c>
      <c r="R37" s="17">
        <f t="shared" si="28"/>
        <v>800000</v>
      </c>
      <c r="S37" s="17">
        <f t="shared" si="28"/>
        <v>800000</v>
      </c>
      <c r="T37" s="43"/>
      <c r="U37" s="11">
        <f t="shared" si="10"/>
        <v>4000000</v>
      </c>
      <c r="V37" s="11">
        <f t="shared" si="11"/>
        <v>0</v>
      </c>
    </row>
    <row r="38" spans="1:22" ht="25.5" x14ac:dyDescent="0.25">
      <c r="A38" s="2" t="s">
        <v>83</v>
      </c>
      <c r="B38" s="3" t="s">
        <v>84</v>
      </c>
      <c r="C38" s="11">
        <v>100000</v>
      </c>
      <c r="D38" s="12"/>
      <c r="E38" s="13"/>
      <c r="F38" s="13"/>
      <c r="G38" s="14"/>
      <c r="H38" s="27">
        <f t="shared" si="8"/>
        <v>100000</v>
      </c>
      <c r="I38" s="48"/>
      <c r="J38" s="51"/>
      <c r="K38" s="51"/>
      <c r="L38" s="51"/>
      <c r="M38" s="17">
        <f>100000/7</f>
        <v>14285.714285714286</v>
      </c>
      <c r="N38" s="17">
        <f t="shared" ref="N38:S38" si="29">100000/7</f>
        <v>14285.714285714286</v>
      </c>
      <c r="O38" s="17">
        <f t="shared" si="29"/>
        <v>14285.714285714286</v>
      </c>
      <c r="P38" s="17">
        <f t="shared" si="29"/>
        <v>14285.714285714286</v>
      </c>
      <c r="Q38" s="17">
        <f t="shared" si="29"/>
        <v>14285.714285714286</v>
      </c>
      <c r="R38" s="17">
        <f t="shared" si="29"/>
        <v>14285.714285714286</v>
      </c>
      <c r="S38" s="17">
        <f t="shared" si="29"/>
        <v>14285.714285714286</v>
      </c>
      <c r="T38" s="43"/>
      <c r="U38" s="11">
        <f t="shared" si="10"/>
        <v>100000.00000000001</v>
      </c>
      <c r="V38" s="11">
        <f t="shared" si="11"/>
        <v>0</v>
      </c>
    </row>
    <row r="39" spans="1:22" ht="25.5" x14ac:dyDescent="0.25">
      <c r="A39" s="2" t="s">
        <v>60</v>
      </c>
      <c r="B39" s="3" t="s">
        <v>61</v>
      </c>
      <c r="C39" s="11">
        <v>2700000</v>
      </c>
      <c r="D39" s="12"/>
      <c r="E39" s="13"/>
      <c r="F39" s="13"/>
      <c r="G39" s="14"/>
      <c r="H39" s="27">
        <f t="shared" si="8"/>
        <v>2700000</v>
      </c>
      <c r="I39" s="48"/>
      <c r="J39" s="51"/>
      <c r="K39" s="51"/>
      <c r="L39" s="51"/>
      <c r="M39" s="17">
        <f>2700000/7</f>
        <v>385714.28571428574</v>
      </c>
      <c r="N39" s="17">
        <f t="shared" ref="N39:S39" si="30">2700000/7</f>
        <v>385714.28571428574</v>
      </c>
      <c r="O39" s="17">
        <f t="shared" si="30"/>
        <v>385714.28571428574</v>
      </c>
      <c r="P39" s="17">
        <f t="shared" si="30"/>
        <v>385714.28571428574</v>
      </c>
      <c r="Q39" s="17">
        <f t="shared" si="30"/>
        <v>385714.28571428574</v>
      </c>
      <c r="R39" s="17">
        <f t="shared" si="30"/>
        <v>385714.28571428574</v>
      </c>
      <c r="S39" s="17">
        <f t="shared" si="30"/>
        <v>385714.28571428574</v>
      </c>
      <c r="T39" s="43"/>
      <c r="U39" s="11">
        <f t="shared" si="10"/>
        <v>2700000.0000000005</v>
      </c>
      <c r="V39" s="11">
        <f t="shared" si="11"/>
        <v>0</v>
      </c>
    </row>
    <row r="40" spans="1:22" ht="25.5" x14ac:dyDescent="0.25">
      <c r="A40" s="2" t="s">
        <v>62</v>
      </c>
      <c r="B40" s="3" t="s">
        <v>63</v>
      </c>
      <c r="C40" s="11">
        <v>4700000</v>
      </c>
      <c r="D40" s="12"/>
      <c r="E40" s="13"/>
      <c r="F40" s="13"/>
      <c r="G40" s="14"/>
      <c r="H40" s="27">
        <f t="shared" si="8"/>
        <v>4700000</v>
      </c>
      <c r="I40" s="48">
        <v>325766</v>
      </c>
      <c r="J40" s="51">
        <v>289469</v>
      </c>
      <c r="K40" s="51"/>
      <c r="L40" s="51"/>
      <c r="M40" s="17">
        <f>4084765/8</f>
        <v>510595.625</v>
      </c>
      <c r="N40" s="17">
        <f t="shared" ref="N40:T40" si="31">4084765/8</f>
        <v>510595.625</v>
      </c>
      <c r="O40" s="17">
        <f t="shared" si="31"/>
        <v>510595.625</v>
      </c>
      <c r="P40" s="17">
        <f t="shared" si="31"/>
        <v>510595.625</v>
      </c>
      <c r="Q40" s="17">
        <f t="shared" si="31"/>
        <v>510595.625</v>
      </c>
      <c r="R40" s="17">
        <f t="shared" si="31"/>
        <v>510595.625</v>
      </c>
      <c r="S40" s="17">
        <f t="shared" si="31"/>
        <v>510595.625</v>
      </c>
      <c r="T40" s="17">
        <f t="shared" si="31"/>
        <v>510595.625</v>
      </c>
      <c r="U40" s="11">
        <f t="shared" si="10"/>
        <v>4700000</v>
      </c>
      <c r="V40" s="11">
        <f t="shared" si="11"/>
        <v>0</v>
      </c>
    </row>
    <row r="41" spans="1:22" ht="25.5" x14ac:dyDescent="0.25">
      <c r="A41" s="2" t="s">
        <v>85</v>
      </c>
      <c r="B41" s="3" t="s">
        <v>86</v>
      </c>
      <c r="C41" s="11">
        <v>0</v>
      </c>
      <c r="D41" s="12">
        <v>3000000</v>
      </c>
      <c r="E41" s="13"/>
      <c r="F41" s="13"/>
      <c r="G41" s="14"/>
      <c r="H41" s="27">
        <f t="shared" si="8"/>
        <v>3000000</v>
      </c>
      <c r="I41" s="48"/>
      <c r="J41" s="51">
        <v>79597</v>
      </c>
      <c r="K41" s="51">
        <v>278851</v>
      </c>
      <c r="L41" s="51">
        <v>475275</v>
      </c>
      <c r="M41" s="17">
        <f>2166277/8</f>
        <v>270784.625</v>
      </c>
      <c r="N41" s="17">
        <f t="shared" ref="N41:T41" si="32">2166277/8</f>
        <v>270784.625</v>
      </c>
      <c r="O41" s="17">
        <f t="shared" si="32"/>
        <v>270784.625</v>
      </c>
      <c r="P41" s="17">
        <f t="shared" si="32"/>
        <v>270784.625</v>
      </c>
      <c r="Q41" s="17">
        <f t="shared" si="32"/>
        <v>270784.625</v>
      </c>
      <c r="R41" s="17">
        <f t="shared" si="32"/>
        <v>270784.625</v>
      </c>
      <c r="S41" s="17">
        <f t="shared" si="32"/>
        <v>270784.625</v>
      </c>
      <c r="T41" s="17">
        <f t="shared" si="32"/>
        <v>270784.625</v>
      </c>
      <c r="U41" s="11">
        <f t="shared" si="10"/>
        <v>3000000</v>
      </c>
      <c r="V41" s="11">
        <f t="shared" si="11"/>
        <v>0</v>
      </c>
    </row>
    <row r="42" spans="1:22" ht="25.5" x14ac:dyDescent="0.25">
      <c r="A42" s="2" t="s">
        <v>64</v>
      </c>
      <c r="B42" s="3" t="s">
        <v>65</v>
      </c>
      <c r="C42" s="11">
        <v>1000</v>
      </c>
      <c r="D42" s="12"/>
      <c r="E42" s="13"/>
      <c r="F42" s="13"/>
      <c r="G42" s="14"/>
      <c r="H42" s="27">
        <f t="shared" si="8"/>
        <v>1000</v>
      </c>
      <c r="I42" s="48"/>
      <c r="J42" s="51"/>
      <c r="K42" s="51"/>
      <c r="L42" s="51"/>
      <c r="M42" s="17">
        <f>1000/8</f>
        <v>125</v>
      </c>
      <c r="N42" s="17">
        <f t="shared" ref="N42:T43" si="33">1000/8</f>
        <v>125</v>
      </c>
      <c r="O42" s="17">
        <f t="shared" si="33"/>
        <v>125</v>
      </c>
      <c r="P42" s="17">
        <f t="shared" si="33"/>
        <v>125</v>
      </c>
      <c r="Q42" s="17">
        <f t="shared" si="33"/>
        <v>125</v>
      </c>
      <c r="R42" s="17">
        <f t="shared" si="33"/>
        <v>125</v>
      </c>
      <c r="S42" s="17">
        <f t="shared" si="33"/>
        <v>125</v>
      </c>
      <c r="T42" s="17">
        <f t="shared" si="33"/>
        <v>125</v>
      </c>
      <c r="U42" s="11">
        <f t="shared" si="10"/>
        <v>1000</v>
      </c>
      <c r="V42" s="11">
        <f t="shared" si="11"/>
        <v>0</v>
      </c>
    </row>
    <row r="43" spans="1:22" ht="25.5" x14ac:dyDescent="0.25">
      <c r="A43" s="2" t="s">
        <v>66</v>
      </c>
      <c r="B43" s="3" t="s">
        <v>67</v>
      </c>
      <c r="C43" s="11">
        <v>1000</v>
      </c>
      <c r="D43" s="12"/>
      <c r="E43" s="13"/>
      <c r="F43" s="13"/>
      <c r="G43" s="14"/>
      <c r="H43" s="27">
        <f t="shared" si="8"/>
        <v>1000</v>
      </c>
      <c r="I43" s="48"/>
      <c r="J43" s="51"/>
      <c r="K43" s="51"/>
      <c r="L43" s="51"/>
      <c r="M43" s="17">
        <f>1000/8</f>
        <v>125</v>
      </c>
      <c r="N43" s="17">
        <f t="shared" si="33"/>
        <v>125</v>
      </c>
      <c r="O43" s="17">
        <f t="shared" si="33"/>
        <v>125</v>
      </c>
      <c r="P43" s="17">
        <f t="shared" si="33"/>
        <v>125</v>
      </c>
      <c r="Q43" s="17">
        <f t="shared" si="33"/>
        <v>125</v>
      </c>
      <c r="R43" s="17">
        <f t="shared" si="33"/>
        <v>125</v>
      </c>
      <c r="S43" s="17">
        <f t="shared" si="33"/>
        <v>125</v>
      </c>
      <c r="T43" s="17">
        <f t="shared" si="33"/>
        <v>125</v>
      </c>
      <c r="U43" s="11">
        <f t="shared" si="10"/>
        <v>1000</v>
      </c>
      <c r="V43" s="11">
        <f t="shared" si="11"/>
        <v>0</v>
      </c>
    </row>
    <row r="44" spans="1:22" ht="13.5" thickBot="1" x14ac:dyDescent="0.3">
      <c r="A44" s="6"/>
      <c r="B44" s="7"/>
      <c r="C44" s="19"/>
      <c r="D44" s="20"/>
      <c r="E44" s="21"/>
      <c r="F44" s="21"/>
      <c r="G44" s="22"/>
      <c r="H44" s="40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19"/>
    </row>
    <row r="45" spans="1:22" ht="13.5" thickBot="1" x14ac:dyDescent="0.3">
      <c r="A45" s="75" t="s">
        <v>26</v>
      </c>
      <c r="B45" s="76"/>
      <c r="C45" s="23">
        <f t="shared" ref="C45:V45" si="34">SUM(C22:C44)</f>
        <v>103103000</v>
      </c>
      <c r="D45" s="24">
        <f t="shared" si="34"/>
        <v>39191527</v>
      </c>
      <c r="E45" s="25">
        <f t="shared" si="34"/>
        <v>0</v>
      </c>
      <c r="F45" s="25">
        <f t="shared" si="34"/>
        <v>0</v>
      </c>
      <c r="G45" s="26">
        <f t="shared" si="34"/>
        <v>0</v>
      </c>
      <c r="H45" s="23">
        <f>SUM(H22:H44)</f>
        <v>142294527</v>
      </c>
      <c r="I45" s="37">
        <f t="shared" si="34"/>
        <v>507146</v>
      </c>
      <c r="J45" s="38">
        <f t="shared" si="34"/>
        <v>475357</v>
      </c>
      <c r="K45" s="38">
        <f t="shared" si="34"/>
        <v>370124</v>
      </c>
      <c r="L45" s="38">
        <f t="shared" si="34"/>
        <v>7766548</v>
      </c>
      <c r="M45" s="38">
        <f t="shared" si="34"/>
        <v>17691899.035714287</v>
      </c>
      <c r="N45" s="38">
        <f t="shared" si="34"/>
        <v>17691899.035714287</v>
      </c>
      <c r="O45" s="38">
        <f t="shared" si="34"/>
        <v>19351899.035714284</v>
      </c>
      <c r="P45" s="38">
        <f t="shared" si="34"/>
        <v>19351899.035714284</v>
      </c>
      <c r="Q45" s="38">
        <f t="shared" si="34"/>
        <v>19351899.035714284</v>
      </c>
      <c r="R45" s="38">
        <f t="shared" si="34"/>
        <v>19351899.035714284</v>
      </c>
      <c r="S45" s="38">
        <f t="shared" si="34"/>
        <v>19351899.035714284</v>
      </c>
      <c r="T45" s="39">
        <f t="shared" si="34"/>
        <v>1032058.75</v>
      </c>
      <c r="U45" s="23">
        <f t="shared" si="34"/>
        <v>142294527</v>
      </c>
      <c r="V45" s="23">
        <f t="shared" si="34"/>
        <v>0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5:B45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9" orientation="landscape" r:id="rId1"/>
  <headerFooter>
    <oddFooter>&amp;L&amp;F&amp;C&amp;A&amp;R&amp;P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28" zoomScaleNormal="100" workbookViewId="0">
      <selection activeCell="I17" sqref="I17:T17"/>
    </sheetView>
  </sheetViews>
  <sheetFormatPr baseColWidth="10" defaultColWidth="11.42578125" defaultRowHeight="12.75" x14ac:dyDescent="0.25"/>
  <cols>
    <col min="1" max="1" width="11.140625" style="1" customWidth="1"/>
    <col min="2" max="2" width="19.14062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3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89.2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29">
        <f>1619000/6</f>
        <v>269833.33333333331</v>
      </c>
      <c r="O8" s="29">
        <f t="shared" ref="O8:S8" si="0">1619000/6</f>
        <v>269833.33333333331</v>
      </c>
      <c r="P8" s="29">
        <f t="shared" si="0"/>
        <v>269833.33333333331</v>
      </c>
      <c r="Q8" s="29">
        <f t="shared" si="0"/>
        <v>269833.33333333331</v>
      </c>
      <c r="R8" s="29">
        <f t="shared" si="0"/>
        <v>269833.33333333331</v>
      </c>
      <c r="S8" s="29">
        <f t="shared" si="0"/>
        <v>269833.33333333331</v>
      </c>
      <c r="T8" s="41"/>
      <c r="U8" s="42">
        <f>SUM(I8:T8)</f>
        <v>4000000.0000000009</v>
      </c>
      <c r="V8" s="11">
        <f>H8-U8</f>
        <v>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1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17">
        <f>1330000/7</f>
        <v>190000</v>
      </c>
      <c r="O9" s="17">
        <f t="shared" ref="O9:T9" si="2">1330000/7</f>
        <v>190000</v>
      </c>
      <c r="P9" s="17">
        <f t="shared" si="2"/>
        <v>190000</v>
      </c>
      <c r="Q9" s="17">
        <f t="shared" si="2"/>
        <v>190000</v>
      </c>
      <c r="R9" s="17">
        <f t="shared" si="2"/>
        <v>190000</v>
      </c>
      <c r="S9" s="17">
        <f t="shared" si="2"/>
        <v>190000</v>
      </c>
      <c r="T9" s="17">
        <f t="shared" si="2"/>
        <v>190000</v>
      </c>
      <c r="U9" s="15">
        <f t="shared" ref="U9:U16" si="3">SUM(I9:T9)</f>
        <v>3000000</v>
      </c>
      <c r="V9" s="15">
        <f t="shared" ref="V9:V16" si="4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1"/>
        <v>88979426</v>
      </c>
      <c r="I10" s="48"/>
      <c r="J10" s="51"/>
      <c r="K10" s="51"/>
      <c r="L10" s="51">
        <v>88979426</v>
      </c>
      <c r="M10" s="51"/>
      <c r="N10" s="17"/>
      <c r="O10" s="17"/>
      <c r="P10" s="17"/>
      <c r="Q10" s="17"/>
      <c r="R10" s="17"/>
      <c r="S10" s="17"/>
      <c r="T10" s="43"/>
      <c r="U10" s="15">
        <f t="shared" si="3"/>
        <v>88979426</v>
      </c>
      <c r="V10" s="15">
        <f t="shared" si="4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1"/>
        <v>32340000</v>
      </c>
      <c r="I11" s="48"/>
      <c r="J11" s="51"/>
      <c r="K11" s="51"/>
      <c r="L11" s="51"/>
      <c r="M11" s="51">
        <v>32340000</v>
      </c>
      <c r="N11" s="17"/>
      <c r="O11" s="17"/>
      <c r="P11" s="17"/>
      <c r="Q11" s="17"/>
      <c r="R11" s="17"/>
      <c r="S11" s="17"/>
      <c r="T11" s="43"/>
      <c r="U11" s="15">
        <f t="shared" si="3"/>
        <v>32340000</v>
      </c>
      <c r="V11" s="15">
        <f t="shared" si="4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1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17">
        <f>97906/7</f>
        <v>13986.571428571429</v>
      </c>
      <c r="O12" s="17">
        <f t="shared" ref="O12:T12" si="5">97906/7</f>
        <v>13986.571428571429</v>
      </c>
      <c r="P12" s="17">
        <f t="shared" si="5"/>
        <v>13986.571428571429</v>
      </c>
      <c r="Q12" s="17">
        <f t="shared" si="5"/>
        <v>13986.571428571429</v>
      </c>
      <c r="R12" s="17">
        <f t="shared" si="5"/>
        <v>13986.571428571429</v>
      </c>
      <c r="S12" s="17">
        <f t="shared" si="5"/>
        <v>13986.571428571429</v>
      </c>
      <c r="T12" s="17">
        <f t="shared" si="5"/>
        <v>13986.571428571429</v>
      </c>
      <c r="U12" s="15">
        <f t="shared" si="3"/>
        <v>100000.06000000001</v>
      </c>
      <c r="V12" s="15">
        <f t="shared" si="4"/>
        <v>-6.0000000012223609E-2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1"/>
        <v>4374645</v>
      </c>
      <c r="I13" s="49"/>
      <c r="J13" s="52">
        <v>4373645</v>
      </c>
      <c r="K13" s="52"/>
      <c r="L13" s="52"/>
      <c r="M13" s="52"/>
      <c r="N13" s="21">
        <v>1000</v>
      </c>
      <c r="O13" s="21"/>
      <c r="P13" s="21"/>
      <c r="Q13" s="21"/>
      <c r="R13" s="21"/>
      <c r="S13" s="21"/>
      <c r="T13" s="46"/>
      <c r="U13" s="15">
        <f t="shared" si="3"/>
        <v>4374645</v>
      </c>
      <c r="V13" s="15">
        <f t="shared" si="4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1"/>
        <v>959084</v>
      </c>
      <c r="I14" s="49"/>
      <c r="J14" s="52">
        <v>958084</v>
      </c>
      <c r="K14" s="52"/>
      <c r="L14" s="52"/>
      <c r="M14" s="52"/>
      <c r="N14" s="21">
        <v>1000</v>
      </c>
      <c r="O14" s="21"/>
      <c r="P14" s="21"/>
      <c r="Q14" s="21"/>
      <c r="R14" s="21"/>
      <c r="S14" s="21"/>
      <c r="T14" s="46"/>
      <c r="U14" s="15">
        <f t="shared" si="3"/>
        <v>959084</v>
      </c>
      <c r="V14" s="15">
        <f t="shared" si="4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1"/>
        <v>6881372</v>
      </c>
      <c r="I15" s="49"/>
      <c r="J15" s="52">
        <v>6880372</v>
      </c>
      <c r="K15" s="52"/>
      <c r="L15" s="52"/>
      <c r="M15" s="52"/>
      <c r="N15" s="21">
        <v>1000</v>
      </c>
      <c r="O15" s="21"/>
      <c r="P15" s="21"/>
      <c r="Q15" s="21"/>
      <c r="R15" s="21"/>
      <c r="S15" s="21"/>
      <c r="T15" s="46"/>
      <c r="U15" s="15">
        <f t="shared" si="3"/>
        <v>6881372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3"/>
        <v>0</v>
      </c>
      <c r="V16" s="15">
        <f t="shared" si="4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6">SUM(H8:H16)</f>
        <v>140634527</v>
      </c>
      <c r="I17" s="37">
        <f t="shared" si="6"/>
        <v>682459</v>
      </c>
      <c r="J17" s="38">
        <f t="shared" si="6"/>
        <v>13561514</v>
      </c>
      <c r="K17" s="38">
        <f t="shared" si="6"/>
        <v>299075.48</v>
      </c>
      <c r="L17" s="38">
        <f t="shared" si="6"/>
        <v>89300827.400000006</v>
      </c>
      <c r="M17" s="38">
        <f t="shared" si="6"/>
        <v>33740745.18</v>
      </c>
      <c r="N17" s="38">
        <f t="shared" si="6"/>
        <v>476819.90476190473</v>
      </c>
      <c r="O17" s="38">
        <f t="shared" si="6"/>
        <v>473819.90476190473</v>
      </c>
      <c r="P17" s="38">
        <f t="shared" si="6"/>
        <v>473819.90476190473</v>
      </c>
      <c r="Q17" s="38">
        <f t="shared" si="6"/>
        <v>473819.90476190473</v>
      </c>
      <c r="R17" s="38">
        <f t="shared" si="6"/>
        <v>473819.90476190473</v>
      </c>
      <c r="S17" s="38">
        <f t="shared" si="6"/>
        <v>473819.90476190473</v>
      </c>
      <c r="T17" s="39">
        <f t="shared" si="6"/>
        <v>203986.57142857142</v>
      </c>
      <c r="U17" s="23">
        <f t="shared" si="6"/>
        <v>140634527.06</v>
      </c>
      <c r="V17" s="23">
        <f t="shared" si="6"/>
        <v>-6.0000000012223609E-2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>
        <v>7000000</v>
      </c>
      <c r="E22" s="13"/>
      <c r="F22" s="13"/>
      <c r="G22" s="14">
        <v>8000000</v>
      </c>
      <c r="H22" s="27">
        <f>C22+D22-E22+F22-G22</f>
        <v>8700000</v>
      </c>
      <c r="I22" s="47"/>
      <c r="J22" s="50"/>
      <c r="K22" s="50"/>
      <c r="L22" s="50"/>
      <c r="M22" s="50"/>
      <c r="N22" s="29">
        <f>8700000/6</f>
        <v>1450000</v>
      </c>
      <c r="O22" s="29">
        <f t="shared" ref="O22:S22" si="7">8700000/6</f>
        <v>1450000</v>
      </c>
      <c r="P22" s="29">
        <f t="shared" si="7"/>
        <v>1450000</v>
      </c>
      <c r="Q22" s="29">
        <f t="shared" si="7"/>
        <v>1450000</v>
      </c>
      <c r="R22" s="29">
        <f t="shared" si="7"/>
        <v>1450000</v>
      </c>
      <c r="S22" s="29">
        <f t="shared" si="7"/>
        <v>1450000</v>
      </c>
      <c r="T22" s="41"/>
      <c r="U22" s="42">
        <f>SUM(I22:T22)</f>
        <v>8700000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3" si="8">C23+D23-E23+F23-G23</f>
        <v>4400000</v>
      </c>
      <c r="I23" s="48"/>
      <c r="J23" s="51"/>
      <c r="K23" s="51"/>
      <c r="L23" s="51"/>
      <c r="M23" s="51"/>
      <c r="N23" s="17">
        <f>4400000/6</f>
        <v>733333.33333333337</v>
      </c>
      <c r="O23" s="17">
        <f t="shared" ref="O23:S23" si="9">4400000/6</f>
        <v>733333.33333333337</v>
      </c>
      <c r="P23" s="17">
        <f t="shared" si="9"/>
        <v>733333.33333333337</v>
      </c>
      <c r="Q23" s="17">
        <f t="shared" si="9"/>
        <v>733333.33333333337</v>
      </c>
      <c r="R23" s="17">
        <f t="shared" si="9"/>
        <v>733333.33333333337</v>
      </c>
      <c r="S23" s="17">
        <f t="shared" si="9"/>
        <v>733333.33333333337</v>
      </c>
      <c r="T23" s="43"/>
      <c r="U23" s="11">
        <f t="shared" ref="U23:U43" si="10">SUM(I23:T23)</f>
        <v>4400000</v>
      </c>
      <c r="V23" s="11">
        <f t="shared" ref="V23:V43" si="11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8"/>
        <v>14100000</v>
      </c>
      <c r="I24" s="48"/>
      <c r="J24" s="51"/>
      <c r="K24" s="51"/>
      <c r="L24" s="51"/>
      <c r="M24" s="51"/>
      <c r="N24" s="17">
        <f>14100000/6</f>
        <v>2350000</v>
      </c>
      <c r="O24" s="17">
        <f t="shared" ref="O24:S24" si="12">14100000/6</f>
        <v>2350000</v>
      </c>
      <c r="P24" s="17">
        <f t="shared" si="12"/>
        <v>2350000</v>
      </c>
      <c r="Q24" s="17">
        <f t="shared" si="12"/>
        <v>2350000</v>
      </c>
      <c r="R24" s="17">
        <f t="shared" si="12"/>
        <v>2350000</v>
      </c>
      <c r="S24" s="17">
        <f t="shared" si="12"/>
        <v>2350000</v>
      </c>
      <c r="T24" s="43"/>
      <c r="U24" s="11">
        <f t="shared" si="10"/>
        <v>14100000</v>
      </c>
      <c r="V24" s="11">
        <f t="shared" si="11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8"/>
        <v>1000</v>
      </c>
      <c r="I25" s="48"/>
      <c r="J25" s="51"/>
      <c r="K25" s="51"/>
      <c r="L25" s="51"/>
      <c r="M25" s="51"/>
      <c r="N25" s="17">
        <f>1000/6</f>
        <v>166.66666666666666</v>
      </c>
      <c r="O25" s="17">
        <f t="shared" ref="O25:S25" si="13">1000/6</f>
        <v>166.66666666666666</v>
      </c>
      <c r="P25" s="17">
        <f t="shared" si="13"/>
        <v>166.66666666666666</v>
      </c>
      <c r="Q25" s="17">
        <f t="shared" si="13"/>
        <v>166.66666666666666</v>
      </c>
      <c r="R25" s="17">
        <f t="shared" si="13"/>
        <v>166.66666666666666</v>
      </c>
      <c r="S25" s="17">
        <f t="shared" si="13"/>
        <v>166.66666666666666</v>
      </c>
      <c r="T25" s="43"/>
      <c r="U25" s="11">
        <f t="shared" si="10"/>
        <v>999.99999999999989</v>
      </c>
      <c r="V25" s="11">
        <f t="shared" si="11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>
        <v>10000000</v>
      </c>
      <c r="E26" s="13"/>
      <c r="F26" s="13"/>
      <c r="G26" s="14"/>
      <c r="H26" s="27">
        <f t="shared" si="8"/>
        <v>24200000</v>
      </c>
      <c r="I26" s="48"/>
      <c r="J26" s="51"/>
      <c r="K26" s="51"/>
      <c r="L26" s="51"/>
      <c r="M26" s="51"/>
      <c r="N26" s="17">
        <f>24200000/6</f>
        <v>4033333.3333333335</v>
      </c>
      <c r="O26" s="17">
        <f t="shared" ref="O26:S26" si="14">24200000/6</f>
        <v>4033333.3333333335</v>
      </c>
      <c r="P26" s="17">
        <f t="shared" si="14"/>
        <v>4033333.3333333335</v>
      </c>
      <c r="Q26" s="17">
        <f t="shared" si="14"/>
        <v>4033333.3333333335</v>
      </c>
      <c r="R26" s="17">
        <f t="shared" si="14"/>
        <v>4033333.3333333335</v>
      </c>
      <c r="S26" s="17">
        <f t="shared" si="14"/>
        <v>4033333.3333333335</v>
      </c>
      <c r="T26" s="43"/>
      <c r="U26" s="11">
        <f t="shared" si="10"/>
        <v>24200000</v>
      </c>
      <c r="V26" s="11">
        <f t="shared" si="11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>
        <v>1660000</v>
      </c>
      <c r="F27" s="13"/>
      <c r="G27" s="14"/>
      <c r="H27" s="27">
        <f t="shared" si="8"/>
        <v>9940000</v>
      </c>
      <c r="I27" s="48"/>
      <c r="J27" s="51"/>
      <c r="K27" s="51"/>
      <c r="L27" s="51"/>
      <c r="M27" s="51"/>
      <c r="N27" s="17">
        <f>9940000/6</f>
        <v>1656666.6666666667</v>
      </c>
      <c r="O27" s="17">
        <f t="shared" ref="O27:S27" si="15">9940000/6</f>
        <v>1656666.6666666667</v>
      </c>
      <c r="P27" s="17">
        <f t="shared" si="15"/>
        <v>1656666.6666666667</v>
      </c>
      <c r="Q27" s="17">
        <f t="shared" si="15"/>
        <v>1656666.6666666667</v>
      </c>
      <c r="R27" s="17">
        <f t="shared" si="15"/>
        <v>1656666.6666666667</v>
      </c>
      <c r="S27" s="17">
        <f t="shared" si="15"/>
        <v>1656666.6666666667</v>
      </c>
      <c r="T27" s="43"/>
      <c r="U27" s="11">
        <f t="shared" si="10"/>
        <v>9940000</v>
      </c>
      <c r="V27" s="11">
        <f t="shared" si="11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8"/>
        <v>958084</v>
      </c>
      <c r="I28" s="48"/>
      <c r="J28" s="51"/>
      <c r="K28" s="51"/>
      <c r="L28" s="51"/>
      <c r="M28" s="51"/>
      <c r="N28" s="17">
        <f>958084/6</f>
        <v>159680.66666666666</v>
      </c>
      <c r="O28" s="17">
        <f t="shared" ref="O28:S28" si="16">958084/6</f>
        <v>159680.66666666666</v>
      </c>
      <c r="P28" s="17">
        <f t="shared" si="16"/>
        <v>159680.66666666666</v>
      </c>
      <c r="Q28" s="17">
        <f t="shared" si="16"/>
        <v>159680.66666666666</v>
      </c>
      <c r="R28" s="17">
        <f t="shared" si="16"/>
        <v>159680.66666666666</v>
      </c>
      <c r="S28" s="17">
        <f t="shared" si="16"/>
        <v>159680.66666666666</v>
      </c>
      <c r="T28" s="43"/>
      <c r="U28" s="11">
        <f t="shared" si="10"/>
        <v>958083.99999999988</v>
      </c>
      <c r="V28" s="11">
        <f t="shared" si="11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8"/>
        <v>6880372</v>
      </c>
      <c r="I29" s="48"/>
      <c r="J29" s="51"/>
      <c r="K29" s="51"/>
      <c r="L29" s="51"/>
      <c r="M29" s="51"/>
      <c r="N29" s="17">
        <f>6880372/6</f>
        <v>1146728.6666666667</v>
      </c>
      <c r="O29" s="17">
        <f t="shared" ref="O29:S29" si="17">6880372/6</f>
        <v>1146728.6666666667</v>
      </c>
      <c r="P29" s="17">
        <f t="shared" si="17"/>
        <v>1146728.6666666667</v>
      </c>
      <c r="Q29" s="17">
        <f t="shared" si="17"/>
        <v>1146728.6666666667</v>
      </c>
      <c r="R29" s="17">
        <f t="shared" si="17"/>
        <v>1146728.6666666667</v>
      </c>
      <c r="S29" s="17">
        <f t="shared" si="17"/>
        <v>1146728.6666666667</v>
      </c>
      <c r="T29" s="43"/>
      <c r="U29" s="11">
        <f t="shared" si="10"/>
        <v>6880372.0000000009</v>
      </c>
      <c r="V29" s="11">
        <f t="shared" si="11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8"/>
        <v>1100000</v>
      </c>
      <c r="I30" s="48">
        <v>181380</v>
      </c>
      <c r="J30" s="51">
        <v>106291</v>
      </c>
      <c r="K30" s="51">
        <v>91273</v>
      </c>
      <c r="L30" s="51">
        <v>91273</v>
      </c>
      <c r="M30" s="51">
        <v>91273</v>
      </c>
      <c r="N30" s="17">
        <f>538510/7</f>
        <v>76930</v>
      </c>
      <c r="O30" s="17">
        <f t="shared" ref="O30:S30" si="18">538510/7</f>
        <v>76930</v>
      </c>
      <c r="P30" s="17">
        <f t="shared" si="18"/>
        <v>76930</v>
      </c>
      <c r="Q30" s="17">
        <f t="shared" si="18"/>
        <v>76930</v>
      </c>
      <c r="R30" s="17">
        <f t="shared" si="18"/>
        <v>76930</v>
      </c>
      <c r="S30" s="17">
        <f t="shared" si="18"/>
        <v>76930</v>
      </c>
      <c r="T30" s="17">
        <f>538510/7</f>
        <v>76930</v>
      </c>
      <c r="U30" s="11">
        <f t="shared" si="10"/>
        <v>1100000</v>
      </c>
      <c r="V30" s="11">
        <f t="shared" si="11"/>
        <v>0</v>
      </c>
    </row>
    <row r="31" spans="1:22" ht="25.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8"/>
        <v>1373645</v>
      </c>
      <c r="I31" s="48"/>
      <c r="J31" s="51"/>
      <c r="K31" s="51"/>
      <c r="L31" s="51"/>
      <c r="M31" s="51"/>
      <c r="N31" s="17">
        <f>1373645/7</f>
        <v>196235</v>
      </c>
      <c r="O31" s="17">
        <f t="shared" ref="O31:T31" si="19">1373645/7</f>
        <v>196235</v>
      </c>
      <c r="P31" s="17">
        <f t="shared" si="19"/>
        <v>196235</v>
      </c>
      <c r="Q31" s="17">
        <f t="shared" si="19"/>
        <v>196235</v>
      </c>
      <c r="R31" s="17">
        <f t="shared" si="19"/>
        <v>196235</v>
      </c>
      <c r="S31" s="17">
        <f t="shared" si="19"/>
        <v>196235</v>
      </c>
      <c r="T31" s="17">
        <f t="shared" si="19"/>
        <v>196235</v>
      </c>
      <c r="U31" s="11">
        <f t="shared" si="10"/>
        <v>1373645</v>
      </c>
      <c r="V31" s="11">
        <f t="shared" si="11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>
        <v>2000000</v>
      </c>
      <c r="E32" s="13"/>
      <c r="F32" s="13"/>
      <c r="G32" s="14"/>
      <c r="H32" s="27">
        <f t="shared" si="8"/>
        <v>7000000</v>
      </c>
      <c r="I32" s="48"/>
      <c r="J32" s="51"/>
      <c r="K32" s="51"/>
      <c r="L32" s="51"/>
      <c r="M32" s="51"/>
      <c r="N32" s="17">
        <f>7000000/6</f>
        <v>1166666.6666666667</v>
      </c>
      <c r="O32" s="17">
        <f t="shared" ref="O32:S32" si="20">7000000/6</f>
        <v>1166666.6666666667</v>
      </c>
      <c r="P32" s="17">
        <f t="shared" si="20"/>
        <v>1166666.6666666667</v>
      </c>
      <c r="Q32" s="17">
        <f t="shared" si="20"/>
        <v>1166666.6666666667</v>
      </c>
      <c r="R32" s="17">
        <f t="shared" si="20"/>
        <v>1166666.6666666667</v>
      </c>
      <c r="S32" s="17">
        <f t="shared" si="20"/>
        <v>1166666.6666666667</v>
      </c>
      <c r="T32" s="43"/>
      <c r="U32" s="11">
        <f t="shared" si="10"/>
        <v>7000000.0000000009</v>
      </c>
      <c r="V32" s="11">
        <f t="shared" si="11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51"/>
      <c r="K33" s="51"/>
      <c r="L33" s="51">
        <v>7200000</v>
      </c>
      <c r="M33" s="51">
        <v>1200000</v>
      </c>
      <c r="N33" s="17">
        <f>15600000/6</f>
        <v>2600000</v>
      </c>
      <c r="O33" s="17">
        <f t="shared" ref="O33:S33" si="21">15600000/6</f>
        <v>2600000</v>
      </c>
      <c r="P33" s="17">
        <f t="shared" si="21"/>
        <v>2600000</v>
      </c>
      <c r="Q33" s="17">
        <f t="shared" si="21"/>
        <v>2600000</v>
      </c>
      <c r="R33" s="17">
        <f t="shared" si="21"/>
        <v>2600000</v>
      </c>
      <c r="S33" s="17">
        <f t="shared" si="21"/>
        <v>2600000</v>
      </c>
      <c r="T33" s="43"/>
      <c r="U33" s="11">
        <f t="shared" si="10"/>
        <v>24000000</v>
      </c>
      <c r="V33" s="11">
        <f t="shared" si="11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8"/>
        <v>4300000</v>
      </c>
      <c r="I34" s="48"/>
      <c r="J34" s="51"/>
      <c r="K34" s="51"/>
      <c r="L34" s="51"/>
      <c r="M34" s="51"/>
      <c r="N34" s="17">
        <f>4300000/6</f>
        <v>716666.66666666663</v>
      </c>
      <c r="O34" s="17">
        <f t="shared" ref="O34:S34" si="22">4300000/6</f>
        <v>716666.66666666663</v>
      </c>
      <c r="P34" s="17">
        <f t="shared" si="22"/>
        <v>716666.66666666663</v>
      </c>
      <c r="Q34" s="17">
        <f t="shared" si="22"/>
        <v>716666.66666666663</v>
      </c>
      <c r="R34" s="17">
        <f t="shared" si="22"/>
        <v>716666.66666666663</v>
      </c>
      <c r="S34" s="17">
        <f t="shared" si="22"/>
        <v>716666.66666666663</v>
      </c>
      <c r="T34" s="43"/>
      <c r="U34" s="11">
        <f t="shared" si="10"/>
        <v>4300000</v>
      </c>
      <c r="V34" s="11">
        <f t="shared" si="11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8"/>
        <v>3200000</v>
      </c>
      <c r="I35" s="48"/>
      <c r="J35" s="51"/>
      <c r="K35" s="51"/>
      <c r="L35" s="51"/>
      <c r="M35" s="51"/>
      <c r="N35" s="17">
        <f>3200000/6</f>
        <v>533333.33333333337</v>
      </c>
      <c r="O35" s="17">
        <f t="shared" ref="O35:S35" si="23">3200000/6</f>
        <v>533333.33333333337</v>
      </c>
      <c r="P35" s="17">
        <f t="shared" si="23"/>
        <v>533333.33333333337</v>
      </c>
      <c r="Q35" s="17">
        <f t="shared" si="23"/>
        <v>533333.33333333337</v>
      </c>
      <c r="R35" s="17">
        <f t="shared" si="23"/>
        <v>533333.33333333337</v>
      </c>
      <c r="S35" s="17">
        <f t="shared" si="23"/>
        <v>533333.33333333337</v>
      </c>
      <c r="T35" s="43"/>
      <c r="U35" s="11">
        <f t="shared" si="10"/>
        <v>3200000.0000000005</v>
      </c>
      <c r="V35" s="11">
        <f t="shared" si="11"/>
        <v>0</v>
      </c>
    </row>
    <row r="36" spans="1:22" ht="25.5" x14ac:dyDescent="0.25">
      <c r="A36" s="2" t="s">
        <v>88</v>
      </c>
      <c r="B36" s="3" t="s">
        <v>87</v>
      </c>
      <c r="C36" s="11">
        <v>0</v>
      </c>
      <c r="D36" s="12">
        <v>7979426</v>
      </c>
      <c r="E36" s="13"/>
      <c r="F36" s="13"/>
      <c r="G36" s="14"/>
      <c r="H36" s="27">
        <f t="shared" si="8"/>
        <v>7979426</v>
      </c>
      <c r="I36" s="48"/>
      <c r="J36" s="51"/>
      <c r="K36" s="51"/>
      <c r="L36" s="51"/>
      <c r="M36" s="51"/>
      <c r="N36" s="17">
        <f>7979426/6</f>
        <v>1329904.3333333333</v>
      </c>
      <c r="O36" s="17">
        <f t="shared" ref="O36:S36" si="24">7979426/6</f>
        <v>1329904.3333333333</v>
      </c>
      <c r="P36" s="17">
        <f t="shared" si="24"/>
        <v>1329904.3333333333</v>
      </c>
      <c r="Q36" s="17">
        <f t="shared" si="24"/>
        <v>1329904.3333333333</v>
      </c>
      <c r="R36" s="17">
        <f t="shared" si="24"/>
        <v>1329904.3333333333</v>
      </c>
      <c r="S36" s="17">
        <f t="shared" si="24"/>
        <v>1329904.3333333333</v>
      </c>
      <c r="T36" s="43"/>
      <c r="U36" s="11">
        <f t="shared" si="10"/>
        <v>7979425.9999999991</v>
      </c>
      <c r="V36" s="11">
        <f t="shared" si="11"/>
        <v>0</v>
      </c>
    </row>
    <row r="37" spans="1:22" ht="25.5" x14ac:dyDescent="0.25">
      <c r="A37" s="2" t="s">
        <v>81</v>
      </c>
      <c r="B37" s="3" t="s">
        <v>82</v>
      </c>
      <c r="C37" s="11">
        <v>4000000</v>
      </c>
      <c r="D37" s="12"/>
      <c r="E37" s="13"/>
      <c r="F37" s="13">
        <v>8000000</v>
      </c>
      <c r="G37" s="14"/>
      <c r="H37" s="27">
        <f t="shared" si="8"/>
        <v>12000000</v>
      </c>
      <c r="I37" s="48"/>
      <c r="J37" s="51"/>
      <c r="K37" s="51"/>
      <c r="L37" s="51"/>
      <c r="M37" s="51"/>
      <c r="N37" s="17">
        <f>12000000/6</f>
        <v>2000000</v>
      </c>
      <c r="O37" s="17">
        <f t="shared" ref="O37:S37" si="25">12000000/6</f>
        <v>2000000</v>
      </c>
      <c r="P37" s="17">
        <f t="shared" si="25"/>
        <v>2000000</v>
      </c>
      <c r="Q37" s="17">
        <f t="shared" si="25"/>
        <v>2000000</v>
      </c>
      <c r="R37" s="17">
        <f t="shared" si="25"/>
        <v>2000000</v>
      </c>
      <c r="S37" s="17">
        <f t="shared" si="25"/>
        <v>2000000</v>
      </c>
      <c r="T37" s="43"/>
      <c r="U37" s="11">
        <f t="shared" si="10"/>
        <v>12000000</v>
      </c>
      <c r="V37" s="11">
        <f t="shared" si="11"/>
        <v>0</v>
      </c>
    </row>
    <row r="38" spans="1:22" ht="25.5" x14ac:dyDescent="0.25">
      <c r="A38" s="2" t="s">
        <v>83</v>
      </c>
      <c r="B38" s="3" t="s">
        <v>84</v>
      </c>
      <c r="C38" s="11">
        <v>100000</v>
      </c>
      <c r="D38" s="12"/>
      <c r="E38" s="13"/>
      <c r="F38" s="13"/>
      <c r="G38" s="14"/>
      <c r="H38" s="27">
        <f t="shared" si="8"/>
        <v>100000</v>
      </c>
      <c r="I38" s="48"/>
      <c r="J38" s="51"/>
      <c r="K38" s="51"/>
      <c r="L38" s="51"/>
      <c r="M38" s="51"/>
      <c r="N38" s="17">
        <f>100000/6</f>
        <v>16666.666666666668</v>
      </c>
      <c r="O38" s="17">
        <f t="shared" ref="O38:S38" si="26">100000/6</f>
        <v>16666.666666666668</v>
      </c>
      <c r="P38" s="17">
        <f t="shared" si="26"/>
        <v>16666.666666666668</v>
      </c>
      <c r="Q38" s="17">
        <f t="shared" si="26"/>
        <v>16666.666666666668</v>
      </c>
      <c r="R38" s="17">
        <f t="shared" si="26"/>
        <v>16666.666666666668</v>
      </c>
      <c r="S38" s="17">
        <f t="shared" si="26"/>
        <v>16666.666666666668</v>
      </c>
      <c r="T38" s="43"/>
      <c r="U38" s="11">
        <f t="shared" si="10"/>
        <v>100000.00000000001</v>
      </c>
      <c r="V38" s="11">
        <f t="shared" si="11"/>
        <v>0</v>
      </c>
    </row>
    <row r="39" spans="1:22" ht="25.5" x14ac:dyDescent="0.25">
      <c r="A39" s="2" t="s">
        <v>60</v>
      </c>
      <c r="B39" s="3" t="s">
        <v>61</v>
      </c>
      <c r="C39" s="11">
        <v>2700000</v>
      </c>
      <c r="D39" s="12"/>
      <c r="E39" s="13"/>
      <c r="F39" s="13"/>
      <c r="G39" s="14"/>
      <c r="H39" s="27">
        <f t="shared" si="8"/>
        <v>2700000</v>
      </c>
      <c r="I39" s="48"/>
      <c r="J39" s="51"/>
      <c r="K39" s="51"/>
      <c r="L39" s="51"/>
      <c r="M39" s="51"/>
      <c r="N39" s="17">
        <f>2700000/6</f>
        <v>450000</v>
      </c>
      <c r="O39" s="17">
        <f t="shared" ref="O39:S39" si="27">2700000/6</f>
        <v>450000</v>
      </c>
      <c r="P39" s="17">
        <f t="shared" si="27"/>
        <v>450000</v>
      </c>
      <c r="Q39" s="17">
        <f t="shared" si="27"/>
        <v>450000</v>
      </c>
      <c r="R39" s="17">
        <f t="shared" si="27"/>
        <v>450000</v>
      </c>
      <c r="S39" s="17">
        <f t="shared" si="27"/>
        <v>450000</v>
      </c>
      <c r="T39" s="43"/>
      <c r="U39" s="11">
        <f t="shared" si="10"/>
        <v>2700000</v>
      </c>
      <c r="V39" s="11">
        <f t="shared" si="11"/>
        <v>0</v>
      </c>
    </row>
    <row r="40" spans="1:22" ht="25.5" x14ac:dyDescent="0.25">
      <c r="A40" s="2" t="s">
        <v>62</v>
      </c>
      <c r="B40" s="3" t="s">
        <v>63</v>
      </c>
      <c r="C40" s="11">
        <v>4700000</v>
      </c>
      <c r="D40" s="12"/>
      <c r="E40" s="13"/>
      <c r="F40" s="13"/>
      <c r="G40" s="14"/>
      <c r="H40" s="27">
        <f t="shared" si="8"/>
        <v>4700000</v>
      </c>
      <c r="I40" s="48">
        <v>325766</v>
      </c>
      <c r="J40" s="51">
        <v>289469</v>
      </c>
      <c r="K40" s="51"/>
      <c r="L40" s="51"/>
      <c r="M40" s="51"/>
      <c r="N40" s="17">
        <f>4084765/7</f>
        <v>583537.85714285716</v>
      </c>
      <c r="O40" s="17">
        <f t="shared" ref="O40:T40" si="28">4084765/7</f>
        <v>583537.85714285716</v>
      </c>
      <c r="P40" s="17">
        <f t="shared" si="28"/>
        <v>583537.85714285716</v>
      </c>
      <c r="Q40" s="17">
        <f t="shared" si="28"/>
        <v>583537.85714285716</v>
      </c>
      <c r="R40" s="17">
        <f t="shared" si="28"/>
        <v>583537.85714285716</v>
      </c>
      <c r="S40" s="17">
        <f t="shared" si="28"/>
        <v>583537.85714285716</v>
      </c>
      <c r="T40" s="17">
        <f t="shared" si="28"/>
        <v>583537.85714285716</v>
      </c>
      <c r="U40" s="11">
        <f t="shared" si="10"/>
        <v>4700000.0000000009</v>
      </c>
      <c r="V40" s="11">
        <f t="shared" si="11"/>
        <v>0</v>
      </c>
    </row>
    <row r="41" spans="1:22" ht="25.5" x14ac:dyDescent="0.25">
      <c r="A41" s="2" t="s">
        <v>85</v>
      </c>
      <c r="B41" s="3" t="s">
        <v>86</v>
      </c>
      <c r="C41" s="11">
        <v>0</v>
      </c>
      <c r="D41" s="12">
        <v>3000000</v>
      </c>
      <c r="E41" s="13"/>
      <c r="F41" s="13"/>
      <c r="G41" s="14"/>
      <c r="H41" s="27">
        <f t="shared" si="8"/>
        <v>3000000</v>
      </c>
      <c r="I41" s="48"/>
      <c r="J41" s="51">
        <v>79597</v>
      </c>
      <c r="K41" s="51">
        <v>278851</v>
      </c>
      <c r="L41" s="51">
        <v>475275</v>
      </c>
      <c r="M41" s="51">
        <v>388381</v>
      </c>
      <c r="N41" s="17">
        <f>1777896/7</f>
        <v>253985.14285714287</v>
      </c>
      <c r="O41" s="17">
        <f t="shared" ref="O41:T41" si="29">1777896/7</f>
        <v>253985.14285714287</v>
      </c>
      <c r="P41" s="17">
        <f t="shared" si="29"/>
        <v>253985.14285714287</v>
      </c>
      <c r="Q41" s="17">
        <f t="shared" si="29"/>
        <v>253985.14285714287</v>
      </c>
      <c r="R41" s="17">
        <f t="shared" si="29"/>
        <v>253985.14285714287</v>
      </c>
      <c r="S41" s="17">
        <f t="shared" si="29"/>
        <v>253985.14285714287</v>
      </c>
      <c r="T41" s="17">
        <f t="shared" si="29"/>
        <v>253985.14285714287</v>
      </c>
      <c r="U41" s="11">
        <f t="shared" si="10"/>
        <v>3000000</v>
      </c>
      <c r="V41" s="11">
        <f t="shared" si="11"/>
        <v>0</v>
      </c>
    </row>
    <row r="42" spans="1:22" ht="25.5" x14ac:dyDescent="0.25">
      <c r="A42" s="2" t="s">
        <v>64</v>
      </c>
      <c r="B42" s="3" t="s">
        <v>65</v>
      </c>
      <c r="C42" s="11">
        <v>1000</v>
      </c>
      <c r="D42" s="12"/>
      <c r="E42" s="13"/>
      <c r="F42" s="13"/>
      <c r="G42" s="14"/>
      <c r="H42" s="27">
        <f t="shared" si="8"/>
        <v>1000</v>
      </c>
      <c r="I42" s="48"/>
      <c r="J42" s="51"/>
      <c r="K42" s="51"/>
      <c r="L42" s="51"/>
      <c r="M42" s="51"/>
      <c r="N42" s="17">
        <f>1000/7</f>
        <v>142.85714285714286</v>
      </c>
      <c r="O42" s="17">
        <f t="shared" ref="O42:T43" si="30">1000/7</f>
        <v>142.85714285714286</v>
      </c>
      <c r="P42" s="17">
        <f t="shared" si="30"/>
        <v>142.85714285714286</v>
      </c>
      <c r="Q42" s="17">
        <f t="shared" si="30"/>
        <v>142.85714285714286</v>
      </c>
      <c r="R42" s="17">
        <f t="shared" si="30"/>
        <v>142.85714285714286</v>
      </c>
      <c r="S42" s="17">
        <f t="shared" si="30"/>
        <v>142.85714285714286</v>
      </c>
      <c r="T42" s="17">
        <f t="shared" si="30"/>
        <v>142.85714285714286</v>
      </c>
      <c r="U42" s="11">
        <f t="shared" si="10"/>
        <v>1000.0000000000001</v>
      </c>
      <c r="V42" s="11">
        <f t="shared" si="11"/>
        <v>0</v>
      </c>
    </row>
    <row r="43" spans="1:22" ht="25.5" x14ac:dyDescent="0.25">
      <c r="A43" s="2" t="s">
        <v>66</v>
      </c>
      <c r="B43" s="3" t="s">
        <v>67</v>
      </c>
      <c r="C43" s="11">
        <v>1000</v>
      </c>
      <c r="D43" s="12"/>
      <c r="E43" s="13"/>
      <c r="F43" s="13"/>
      <c r="G43" s="14"/>
      <c r="H43" s="27">
        <f t="shared" si="8"/>
        <v>1000</v>
      </c>
      <c r="I43" s="48"/>
      <c r="J43" s="51"/>
      <c r="K43" s="51"/>
      <c r="L43" s="51"/>
      <c r="M43" s="51"/>
      <c r="N43" s="17">
        <f>1000/7</f>
        <v>142.85714285714286</v>
      </c>
      <c r="O43" s="17">
        <f t="shared" si="30"/>
        <v>142.85714285714286</v>
      </c>
      <c r="P43" s="17">
        <f t="shared" si="30"/>
        <v>142.85714285714286</v>
      </c>
      <c r="Q43" s="17">
        <f t="shared" si="30"/>
        <v>142.85714285714286</v>
      </c>
      <c r="R43" s="17">
        <f t="shared" si="30"/>
        <v>142.85714285714286</v>
      </c>
      <c r="S43" s="17">
        <f t="shared" si="30"/>
        <v>142.85714285714286</v>
      </c>
      <c r="T43" s="17">
        <f t="shared" si="30"/>
        <v>142.85714285714286</v>
      </c>
      <c r="U43" s="11">
        <f t="shared" si="10"/>
        <v>1000.0000000000001</v>
      </c>
      <c r="V43" s="11">
        <f t="shared" si="11"/>
        <v>0</v>
      </c>
    </row>
    <row r="44" spans="1:22" ht="13.5" thickBot="1" x14ac:dyDescent="0.3">
      <c r="A44" s="6"/>
      <c r="B44" s="7"/>
      <c r="C44" s="19"/>
      <c r="D44" s="20"/>
      <c r="E44" s="21"/>
      <c r="F44" s="21"/>
      <c r="G44" s="22"/>
      <c r="H44" s="40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19"/>
    </row>
    <row r="45" spans="1:22" ht="13.5" thickBot="1" x14ac:dyDescent="0.3">
      <c r="A45" s="75" t="s">
        <v>26</v>
      </c>
      <c r="B45" s="76"/>
      <c r="C45" s="23">
        <f t="shared" ref="C45:V45" si="31">SUM(C22:C44)</f>
        <v>103103000</v>
      </c>
      <c r="D45" s="24">
        <f t="shared" si="31"/>
        <v>39191527</v>
      </c>
      <c r="E45" s="25">
        <f t="shared" si="31"/>
        <v>1660000</v>
      </c>
      <c r="F45" s="25">
        <f t="shared" si="31"/>
        <v>8000000</v>
      </c>
      <c r="G45" s="26">
        <f t="shared" si="31"/>
        <v>8000000</v>
      </c>
      <c r="H45" s="23">
        <f>SUM(H22:H44)</f>
        <v>140634527</v>
      </c>
      <c r="I45" s="37">
        <f t="shared" si="31"/>
        <v>507146</v>
      </c>
      <c r="J45" s="38">
        <f t="shared" si="31"/>
        <v>475357</v>
      </c>
      <c r="K45" s="38">
        <f t="shared" si="31"/>
        <v>370124</v>
      </c>
      <c r="L45" s="38">
        <f t="shared" si="31"/>
        <v>7766548</v>
      </c>
      <c r="M45" s="38">
        <f t="shared" si="31"/>
        <v>1679654</v>
      </c>
      <c r="N45" s="38">
        <f t="shared" si="31"/>
        <v>21454120.714285713</v>
      </c>
      <c r="O45" s="38">
        <f t="shared" si="31"/>
        <v>21454120.714285713</v>
      </c>
      <c r="P45" s="38">
        <f t="shared" si="31"/>
        <v>21454120.714285713</v>
      </c>
      <c r="Q45" s="38">
        <f t="shared" si="31"/>
        <v>21454120.714285713</v>
      </c>
      <c r="R45" s="38">
        <f t="shared" si="31"/>
        <v>21454120.714285713</v>
      </c>
      <c r="S45" s="38">
        <f t="shared" si="31"/>
        <v>21454120.714285713</v>
      </c>
      <c r="T45" s="39">
        <f t="shared" si="31"/>
        <v>1110973.7142857141</v>
      </c>
      <c r="U45" s="23">
        <f t="shared" si="31"/>
        <v>140634527</v>
      </c>
      <c r="V45" s="23">
        <f t="shared" si="31"/>
        <v>0</v>
      </c>
    </row>
  </sheetData>
  <mergeCells count="67">
    <mergeCell ref="V20:V21"/>
    <mergeCell ref="A45:B45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F1" zoomScaleNormal="100" workbookViewId="0">
      <selection activeCell="P50" sqref="P50"/>
    </sheetView>
  </sheetViews>
  <sheetFormatPr baseColWidth="10" defaultColWidth="11.42578125" defaultRowHeight="12.75" x14ac:dyDescent="0.25"/>
  <cols>
    <col min="1" max="1" width="11.140625" style="1" customWidth="1"/>
    <col min="2" max="2" width="19.14062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8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89.2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29"/>
      <c r="P8" s="29"/>
      <c r="Q8" s="29"/>
      <c r="R8" s="29"/>
      <c r="S8" s="29"/>
      <c r="T8" s="41"/>
      <c r="U8" s="42">
        <f>SUM(I8:T8)</f>
        <v>4141000</v>
      </c>
      <c r="V8" s="11">
        <f>H8-U8</f>
        <v>-141000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17">
        <f>1288000/6</f>
        <v>214666.66666666666</v>
      </c>
      <c r="P9" s="17">
        <f t="shared" ref="P9:S9" si="1">1288000/6</f>
        <v>214666.66666666666</v>
      </c>
      <c r="Q9" s="17">
        <f t="shared" si="1"/>
        <v>214666.66666666666</v>
      </c>
      <c r="R9" s="17">
        <f t="shared" si="1"/>
        <v>214666.66666666666</v>
      </c>
      <c r="S9" s="17">
        <f t="shared" si="1"/>
        <v>214666.66666666666</v>
      </c>
      <c r="T9" s="17">
        <f>1288000/6</f>
        <v>214666.66666666666</v>
      </c>
      <c r="U9" s="15">
        <f t="shared" ref="U9:U16" si="2">SUM(I9:T9)</f>
        <v>2999999.9999999995</v>
      </c>
      <c r="V9" s="15">
        <f t="shared" ref="V9:V16" si="3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17"/>
      <c r="P10" s="17"/>
      <c r="Q10" s="17"/>
      <c r="R10" s="17"/>
      <c r="S10" s="17"/>
      <c r="T10" s="43"/>
      <c r="U10" s="15">
        <f t="shared" si="2"/>
        <v>88979426</v>
      </c>
      <c r="V10" s="15">
        <f t="shared" si="3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17"/>
      <c r="P11" s="17"/>
      <c r="Q11" s="17"/>
      <c r="R11" s="17"/>
      <c r="S11" s="17"/>
      <c r="T11" s="43"/>
      <c r="U11" s="15">
        <f t="shared" si="2"/>
        <v>32340000</v>
      </c>
      <c r="V11" s="15">
        <f t="shared" si="3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17">
        <f>97205/6</f>
        <v>16200.833333333334</v>
      </c>
      <c r="P12" s="17">
        <f t="shared" ref="P12:T12" si="4">97205/6</f>
        <v>16200.833333333334</v>
      </c>
      <c r="Q12" s="17">
        <f t="shared" si="4"/>
        <v>16200.833333333334</v>
      </c>
      <c r="R12" s="17">
        <f t="shared" si="4"/>
        <v>16200.833333333334</v>
      </c>
      <c r="S12" s="17">
        <f t="shared" si="4"/>
        <v>16200.833333333334</v>
      </c>
      <c r="T12" s="17">
        <f t="shared" si="4"/>
        <v>16200.833333333334</v>
      </c>
      <c r="U12" s="15">
        <f t="shared" si="2"/>
        <v>99999.59</v>
      </c>
      <c r="V12" s="15">
        <f t="shared" si="3"/>
        <v>0.41000000000349246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21">
        <v>1000</v>
      </c>
      <c r="P13" s="21"/>
      <c r="Q13" s="21"/>
      <c r="R13" s="21"/>
      <c r="S13" s="21"/>
      <c r="T13" s="46"/>
      <c r="U13" s="15">
        <f t="shared" si="2"/>
        <v>4374645</v>
      </c>
      <c r="V13" s="15">
        <f t="shared" si="3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21">
        <v>1000</v>
      </c>
      <c r="P14" s="21"/>
      <c r="Q14" s="21"/>
      <c r="R14" s="21"/>
      <c r="S14" s="21"/>
      <c r="T14" s="46"/>
      <c r="U14" s="15">
        <f t="shared" si="2"/>
        <v>959084</v>
      </c>
      <c r="V14" s="15">
        <f t="shared" si="3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21">
        <v>1000</v>
      </c>
      <c r="P15" s="21"/>
      <c r="Q15" s="21"/>
      <c r="R15" s="21"/>
      <c r="S15" s="21"/>
      <c r="T15" s="46"/>
      <c r="U15" s="15">
        <f t="shared" si="2"/>
        <v>6881372</v>
      </c>
      <c r="V15" s="15">
        <f t="shared" si="3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2"/>
        <v>0</v>
      </c>
      <c r="V16" s="15">
        <f t="shared" si="3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5">SUM(H8:H16)</f>
        <v>140634527</v>
      </c>
      <c r="I17" s="37">
        <f t="shared" si="5"/>
        <v>682459</v>
      </c>
      <c r="J17" s="38">
        <f t="shared" si="5"/>
        <v>13561514</v>
      </c>
      <c r="K17" s="38">
        <f t="shared" si="5"/>
        <v>299075.48</v>
      </c>
      <c r="L17" s="38">
        <f t="shared" si="5"/>
        <v>89300827.400000006</v>
      </c>
      <c r="M17" s="38">
        <f t="shared" si="5"/>
        <v>33740745.18</v>
      </c>
      <c r="N17" s="38">
        <f t="shared" si="5"/>
        <v>1802700.53</v>
      </c>
      <c r="O17" s="38">
        <f t="shared" si="5"/>
        <v>233867.5</v>
      </c>
      <c r="P17" s="38">
        <f t="shared" si="5"/>
        <v>230867.5</v>
      </c>
      <c r="Q17" s="38">
        <f t="shared" si="5"/>
        <v>230867.5</v>
      </c>
      <c r="R17" s="38">
        <f t="shared" si="5"/>
        <v>230867.5</v>
      </c>
      <c r="S17" s="38">
        <f t="shared" si="5"/>
        <v>230867.5</v>
      </c>
      <c r="T17" s="39">
        <f t="shared" si="5"/>
        <v>230867.5</v>
      </c>
      <c r="U17" s="23">
        <f t="shared" si="5"/>
        <v>140775526.59</v>
      </c>
      <c r="V17" s="23">
        <f t="shared" si="5"/>
        <v>-140999.59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>
        <v>7000000</v>
      </c>
      <c r="E22" s="13"/>
      <c r="F22" s="13"/>
      <c r="G22" s="14">
        <v>8000000</v>
      </c>
      <c r="H22" s="27">
        <f>C22+D22-E22+F22-G22</f>
        <v>8700000</v>
      </c>
      <c r="I22" s="47"/>
      <c r="J22" s="50"/>
      <c r="K22" s="50"/>
      <c r="L22" s="50"/>
      <c r="M22" s="50"/>
      <c r="N22" s="50"/>
      <c r="O22" s="29">
        <f>8700000/5</f>
        <v>1740000</v>
      </c>
      <c r="P22" s="29">
        <f t="shared" ref="P22:S22" si="6">8700000/5</f>
        <v>1740000</v>
      </c>
      <c r="Q22" s="29">
        <f t="shared" si="6"/>
        <v>1740000</v>
      </c>
      <c r="R22" s="29">
        <f t="shared" si="6"/>
        <v>1740000</v>
      </c>
      <c r="S22" s="29">
        <f t="shared" si="6"/>
        <v>1740000</v>
      </c>
      <c r="T22" s="41"/>
      <c r="U22" s="42">
        <f>SUM(I22:T22)</f>
        <v>8700000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3" si="7">C23+D23-E23+F23-G23</f>
        <v>4400000</v>
      </c>
      <c r="I23" s="48"/>
      <c r="J23" s="51"/>
      <c r="K23" s="51"/>
      <c r="L23" s="51"/>
      <c r="M23" s="51"/>
      <c r="N23" s="51"/>
      <c r="O23" s="17">
        <f>4400000/5</f>
        <v>880000</v>
      </c>
      <c r="P23" s="17">
        <f t="shared" ref="P23:S23" si="8">4400000/5</f>
        <v>880000</v>
      </c>
      <c r="Q23" s="17">
        <f t="shared" si="8"/>
        <v>880000</v>
      </c>
      <c r="R23" s="17">
        <f t="shared" si="8"/>
        <v>880000</v>
      </c>
      <c r="S23" s="17">
        <f t="shared" si="8"/>
        <v>880000</v>
      </c>
      <c r="T23" s="43"/>
      <c r="U23" s="11">
        <f t="shared" ref="U23:U43" si="9">SUM(I23:T23)</f>
        <v>4400000</v>
      </c>
      <c r="V23" s="11">
        <f t="shared" ref="V23:V43" si="10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7"/>
        <v>14100000</v>
      </c>
      <c r="I24" s="48"/>
      <c r="J24" s="51"/>
      <c r="K24" s="51"/>
      <c r="L24" s="51"/>
      <c r="M24" s="51"/>
      <c r="N24" s="51"/>
      <c r="O24" s="17">
        <f>14100000/5</f>
        <v>2820000</v>
      </c>
      <c r="P24" s="17">
        <f t="shared" ref="P24:S24" si="11">14100000/5</f>
        <v>2820000</v>
      </c>
      <c r="Q24" s="17">
        <f t="shared" si="11"/>
        <v>2820000</v>
      </c>
      <c r="R24" s="17">
        <f t="shared" si="11"/>
        <v>2820000</v>
      </c>
      <c r="S24" s="17">
        <f t="shared" si="11"/>
        <v>2820000</v>
      </c>
      <c r="T24" s="43"/>
      <c r="U24" s="11">
        <f t="shared" si="9"/>
        <v>14100000</v>
      </c>
      <c r="V24" s="11">
        <f t="shared" si="10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7"/>
        <v>1000</v>
      </c>
      <c r="I25" s="48"/>
      <c r="J25" s="51"/>
      <c r="K25" s="51"/>
      <c r="L25" s="51"/>
      <c r="M25" s="51"/>
      <c r="N25" s="51"/>
      <c r="O25" s="17">
        <v>200</v>
      </c>
      <c r="P25" s="17">
        <v>200</v>
      </c>
      <c r="Q25" s="17">
        <v>200</v>
      </c>
      <c r="R25" s="17">
        <v>200</v>
      </c>
      <c r="S25" s="17">
        <v>200</v>
      </c>
      <c r="T25" s="43"/>
      <c r="U25" s="11">
        <f t="shared" si="9"/>
        <v>1000</v>
      </c>
      <c r="V25" s="11">
        <f t="shared" si="10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>
        <v>10000000</v>
      </c>
      <c r="E26" s="13"/>
      <c r="F26" s="13"/>
      <c r="G26" s="14"/>
      <c r="H26" s="27">
        <f t="shared" si="7"/>
        <v>24200000</v>
      </c>
      <c r="I26" s="48"/>
      <c r="J26" s="51"/>
      <c r="K26" s="51"/>
      <c r="L26" s="51"/>
      <c r="M26" s="51"/>
      <c r="N26" s="51"/>
      <c r="O26" s="17">
        <f>24200000/5</f>
        <v>4840000</v>
      </c>
      <c r="P26" s="17">
        <f t="shared" ref="P26:S26" si="12">24200000/5</f>
        <v>4840000</v>
      </c>
      <c r="Q26" s="17">
        <f t="shared" si="12"/>
        <v>4840000</v>
      </c>
      <c r="R26" s="17">
        <f t="shared" si="12"/>
        <v>4840000</v>
      </c>
      <c r="S26" s="17">
        <f t="shared" si="12"/>
        <v>4840000</v>
      </c>
      <c r="T26" s="43"/>
      <c r="U26" s="11">
        <f t="shared" si="9"/>
        <v>24200000</v>
      </c>
      <c r="V26" s="11">
        <f t="shared" si="10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>
        <v>1660000</v>
      </c>
      <c r="F27" s="13"/>
      <c r="G27" s="14"/>
      <c r="H27" s="27">
        <f t="shared" si="7"/>
        <v>9940000</v>
      </c>
      <c r="I27" s="48"/>
      <c r="J27" s="51"/>
      <c r="K27" s="51"/>
      <c r="L27" s="51"/>
      <c r="M27" s="51"/>
      <c r="N27" s="51"/>
      <c r="O27" s="17">
        <f>9940000/5</f>
        <v>1988000</v>
      </c>
      <c r="P27" s="17">
        <f t="shared" ref="P27:S27" si="13">9940000/5</f>
        <v>1988000</v>
      </c>
      <c r="Q27" s="17">
        <f t="shared" si="13"/>
        <v>1988000</v>
      </c>
      <c r="R27" s="17">
        <f t="shared" si="13"/>
        <v>1988000</v>
      </c>
      <c r="S27" s="17">
        <f t="shared" si="13"/>
        <v>1988000</v>
      </c>
      <c r="T27" s="43"/>
      <c r="U27" s="11">
        <f t="shared" si="9"/>
        <v>9940000</v>
      </c>
      <c r="V27" s="11">
        <f t="shared" si="10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7"/>
        <v>958084</v>
      </c>
      <c r="I28" s="48"/>
      <c r="J28" s="51"/>
      <c r="K28" s="51"/>
      <c r="L28" s="51"/>
      <c r="M28" s="51"/>
      <c r="N28" s="51"/>
      <c r="O28" s="17">
        <f>958084/5</f>
        <v>191616.8</v>
      </c>
      <c r="P28" s="17">
        <f t="shared" ref="P28:S28" si="14">958084/5</f>
        <v>191616.8</v>
      </c>
      <c r="Q28" s="17">
        <f t="shared" si="14"/>
        <v>191616.8</v>
      </c>
      <c r="R28" s="17">
        <f t="shared" si="14"/>
        <v>191616.8</v>
      </c>
      <c r="S28" s="17">
        <f t="shared" si="14"/>
        <v>191616.8</v>
      </c>
      <c r="T28" s="43"/>
      <c r="U28" s="11">
        <f t="shared" si="9"/>
        <v>958084</v>
      </c>
      <c r="V28" s="11">
        <f t="shared" si="10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7"/>
        <v>6880372</v>
      </c>
      <c r="I29" s="48"/>
      <c r="J29" s="51"/>
      <c r="K29" s="51"/>
      <c r="L29" s="51"/>
      <c r="M29" s="51"/>
      <c r="N29" s="51"/>
      <c r="O29" s="17">
        <f>6880372/5</f>
        <v>1376074.4</v>
      </c>
      <c r="P29" s="17">
        <f t="shared" ref="P29:S29" si="15">6880372/5</f>
        <v>1376074.4</v>
      </c>
      <c r="Q29" s="17">
        <f t="shared" si="15"/>
        <v>1376074.4</v>
      </c>
      <c r="R29" s="17">
        <f t="shared" si="15"/>
        <v>1376074.4</v>
      </c>
      <c r="S29" s="17">
        <f t="shared" si="15"/>
        <v>1376074.4</v>
      </c>
      <c r="T29" s="43"/>
      <c r="U29" s="11">
        <f t="shared" si="9"/>
        <v>6880372</v>
      </c>
      <c r="V29" s="11">
        <f t="shared" si="10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7"/>
        <v>1100000</v>
      </c>
      <c r="I30" s="48">
        <v>181380</v>
      </c>
      <c r="J30" s="51">
        <v>106291</v>
      </c>
      <c r="K30" s="51">
        <v>91273</v>
      </c>
      <c r="L30" s="51">
        <v>91273</v>
      </c>
      <c r="M30" s="51">
        <v>91273</v>
      </c>
      <c r="N30" s="51">
        <v>91273</v>
      </c>
      <c r="O30" s="17">
        <f>447237/6</f>
        <v>74539.5</v>
      </c>
      <c r="P30" s="17">
        <f t="shared" ref="P30:T30" si="16">447237/6</f>
        <v>74539.5</v>
      </c>
      <c r="Q30" s="17">
        <f t="shared" si="16"/>
        <v>74539.5</v>
      </c>
      <c r="R30" s="17">
        <f t="shared" si="16"/>
        <v>74539.5</v>
      </c>
      <c r="S30" s="17">
        <f t="shared" si="16"/>
        <v>74539.5</v>
      </c>
      <c r="T30" s="17">
        <f t="shared" si="16"/>
        <v>74539.5</v>
      </c>
      <c r="U30" s="11">
        <f t="shared" si="9"/>
        <v>1100000</v>
      </c>
      <c r="V30" s="11">
        <f t="shared" si="10"/>
        <v>0</v>
      </c>
    </row>
    <row r="31" spans="1:22" ht="25.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7"/>
        <v>1373645</v>
      </c>
      <c r="I31" s="48"/>
      <c r="J31" s="51"/>
      <c r="K31" s="51"/>
      <c r="L31" s="51"/>
      <c r="M31" s="51"/>
      <c r="N31" s="51"/>
      <c r="O31" s="17">
        <f>1373645/6</f>
        <v>228940.83333333334</v>
      </c>
      <c r="P31" s="17">
        <f t="shared" ref="P31:T31" si="17">1373645/6</f>
        <v>228940.83333333334</v>
      </c>
      <c r="Q31" s="17">
        <f t="shared" si="17"/>
        <v>228940.83333333334</v>
      </c>
      <c r="R31" s="17">
        <f t="shared" si="17"/>
        <v>228940.83333333334</v>
      </c>
      <c r="S31" s="17">
        <f t="shared" si="17"/>
        <v>228940.83333333334</v>
      </c>
      <c r="T31" s="17">
        <f t="shared" si="17"/>
        <v>228940.83333333334</v>
      </c>
      <c r="U31" s="11">
        <f t="shared" si="9"/>
        <v>1373645</v>
      </c>
      <c r="V31" s="11">
        <f t="shared" si="10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>
        <v>2000000</v>
      </c>
      <c r="E32" s="13"/>
      <c r="F32" s="13"/>
      <c r="G32" s="14"/>
      <c r="H32" s="27">
        <f t="shared" si="7"/>
        <v>7000000</v>
      </c>
      <c r="I32" s="48"/>
      <c r="J32" s="51"/>
      <c r="K32" s="51"/>
      <c r="L32" s="51"/>
      <c r="M32" s="51"/>
      <c r="N32" s="51"/>
      <c r="O32" s="17">
        <f>7000000/5</f>
        <v>1400000</v>
      </c>
      <c r="P32" s="17">
        <f t="shared" ref="P32:S32" si="18">7000000/5</f>
        <v>1400000</v>
      </c>
      <c r="Q32" s="17">
        <f t="shared" si="18"/>
        <v>1400000</v>
      </c>
      <c r="R32" s="17">
        <f t="shared" si="18"/>
        <v>1400000</v>
      </c>
      <c r="S32" s="17">
        <f t="shared" si="18"/>
        <v>1400000</v>
      </c>
      <c r="T32" s="43"/>
      <c r="U32" s="11">
        <f t="shared" si="9"/>
        <v>7000000</v>
      </c>
      <c r="V32" s="11">
        <f t="shared" si="10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7"/>
        <v>24000000</v>
      </c>
      <c r="I33" s="48"/>
      <c r="J33" s="51"/>
      <c r="K33" s="51"/>
      <c r="L33" s="51">
        <v>7200000</v>
      </c>
      <c r="M33" s="51">
        <v>1200000</v>
      </c>
      <c r="N33" s="51">
        <v>3600000</v>
      </c>
      <c r="O33" s="17">
        <f>12000000/5</f>
        <v>2400000</v>
      </c>
      <c r="P33" s="17">
        <f t="shared" ref="P33:S33" si="19">12000000/5</f>
        <v>2400000</v>
      </c>
      <c r="Q33" s="17">
        <f t="shared" si="19"/>
        <v>2400000</v>
      </c>
      <c r="R33" s="17">
        <f t="shared" si="19"/>
        <v>2400000</v>
      </c>
      <c r="S33" s="17">
        <f t="shared" si="19"/>
        <v>2400000</v>
      </c>
      <c r="T33" s="43"/>
      <c r="U33" s="11">
        <f t="shared" si="9"/>
        <v>24000000</v>
      </c>
      <c r="V33" s="11">
        <f t="shared" si="10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7"/>
        <v>4300000</v>
      </c>
      <c r="I34" s="48"/>
      <c r="J34" s="51"/>
      <c r="K34" s="51"/>
      <c r="L34" s="51"/>
      <c r="M34" s="51"/>
      <c r="N34" s="51"/>
      <c r="O34" s="17">
        <f>4300000/5</f>
        <v>860000</v>
      </c>
      <c r="P34" s="17">
        <f t="shared" ref="P34:S34" si="20">4300000/5</f>
        <v>860000</v>
      </c>
      <c r="Q34" s="17">
        <f t="shared" si="20"/>
        <v>860000</v>
      </c>
      <c r="R34" s="17">
        <f t="shared" si="20"/>
        <v>860000</v>
      </c>
      <c r="S34" s="17">
        <f t="shared" si="20"/>
        <v>860000</v>
      </c>
      <c r="T34" s="43"/>
      <c r="U34" s="11">
        <f t="shared" si="9"/>
        <v>4300000</v>
      </c>
      <c r="V34" s="11">
        <f t="shared" si="10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7"/>
        <v>3200000</v>
      </c>
      <c r="I35" s="48"/>
      <c r="J35" s="51"/>
      <c r="K35" s="51"/>
      <c r="L35" s="51"/>
      <c r="M35" s="51"/>
      <c r="N35" s="51"/>
      <c r="O35" s="17">
        <f>3200000/5</f>
        <v>640000</v>
      </c>
      <c r="P35" s="17">
        <f t="shared" ref="P35:S35" si="21">3200000/5</f>
        <v>640000</v>
      </c>
      <c r="Q35" s="17">
        <f t="shared" si="21"/>
        <v>640000</v>
      </c>
      <c r="R35" s="17">
        <f t="shared" si="21"/>
        <v>640000</v>
      </c>
      <c r="S35" s="17">
        <f t="shared" si="21"/>
        <v>640000</v>
      </c>
      <c r="T35" s="43"/>
      <c r="U35" s="11">
        <f t="shared" si="9"/>
        <v>3200000</v>
      </c>
      <c r="V35" s="11">
        <f t="shared" si="10"/>
        <v>0</v>
      </c>
    </row>
    <row r="36" spans="1:22" ht="25.5" x14ac:dyDescent="0.25">
      <c r="A36" s="2" t="s">
        <v>88</v>
      </c>
      <c r="B36" s="3" t="s">
        <v>87</v>
      </c>
      <c r="C36" s="11">
        <v>0</v>
      </c>
      <c r="D36" s="12">
        <v>7979426</v>
      </c>
      <c r="E36" s="13"/>
      <c r="F36" s="13"/>
      <c r="G36" s="14"/>
      <c r="H36" s="27">
        <f t="shared" si="7"/>
        <v>7979426</v>
      </c>
      <c r="I36" s="48"/>
      <c r="J36" s="51"/>
      <c r="K36" s="51"/>
      <c r="L36" s="51"/>
      <c r="M36" s="51"/>
      <c r="N36" s="51">
        <v>1354000</v>
      </c>
      <c r="O36" s="17">
        <f>6625426/5</f>
        <v>1325085.2</v>
      </c>
      <c r="P36" s="17">
        <f t="shared" ref="P36:S36" si="22">6625426/5</f>
        <v>1325085.2</v>
      </c>
      <c r="Q36" s="17">
        <f t="shared" si="22"/>
        <v>1325085.2</v>
      </c>
      <c r="R36" s="17">
        <f t="shared" si="22"/>
        <v>1325085.2</v>
      </c>
      <c r="S36" s="17">
        <f t="shared" si="22"/>
        <v>1325085.2</v>
      </c>
      <c r="T36" s="43"/>
      <c r="U36" s="11">
        <f t="shared" si="9"/>
        <v>7979426.0000000009</v>
      </c>
      <c r="V36" s="11">
        <f t="shared" si="10"/>
        <v>0</v>
      </c>
    </row>
    <row r="37" spans="1:22" ht="25.5" x14ac:dyDescent="0.25">
      <c r="A37" s="2" t="s">
        <v>81</v>
      </c>
      <c r="B37" s="3" t="s">
        <v>82</v>
      </c>
      <c r="C37" s="11">
        <v>4000000</v>
      </c>
      <c r="D37" s="12"/>
      <c r="E37" s="13"/>
      <c r="F37" s="13">
        <v>8000000</v>
      </c>
      <c r="G37" s="14"/>
      <c r="H37" s="27">
        <f t="shared" si="7"/>
        <v>12000000</v>
      </c>
      <c r="I37" s="48"/>
      <c r="J37" s="51"/>
      <c r="K37" s="51"/>
      <c r="L37" s="51"/>
      <c r="M37" s="51"/>
      <c r="N37" s="51"/>
      <c r="O37" s="17">
        <f>12000000/5</f>
        <v>2400000</v>
      </c>
      <c r="P37" s="17">
        <f t="shared" ref="P37:S37" si="23">12000000/5</f>
        <v>2400000</v>
      </c>
      <c r="Q37" s="17">
        <f t="shared" si="23"/>
        <v>2400000</v>
      </c>
      <c r="R37" s="17">
        <f t="shared" si="23"/>
        <v>2400000</v>
      </c>
      <c r="S37" s="17">
        <f t="shared" si="23"/>
        <v>2400000</v>
      </c>
      <c r="T37" s="43"/>
      <c r="U37" s="11">
        <f t="shared" si="9"/>
        <v>12000000</v>
      </c>
      <c r="V37" s="11">
        <f t="shared" si="10"/>
        <v>0</v>
      </c>
    </row>
    <row r="38" spans="1:22" ht="25.5" x14ac:dyDescent="0.25">
      <c r="A38" s="2" t="s">
        <v>83</v>
      </c>
      <c r="B38" s="3" t="s">
        <v>84</v>
      </c>
      <c r="C38" s="11">
        <v>100000</v>
      </c>
      <c r="D38" s="12"/>
      <c r="E38" s="13"/>
      <c r="F38" s="13"/>
      <c r="G38" s="14"/>
      <c r="H38" s="27">
        <f t="shared" si="7"/>
        <v>100000</v>
      </c>
      <c r="I38" s="48"/>
      <c r="J38" s="51"/>
      <c r="K38" s="51"/>
      <c r="L38" s="51"/>
      <c r="M38" s="51"/>
      <c r="N38" s="51"/>
      <c r="O38" s="17">
        <f>100000/5</f>
        <v>20000</v>
      </c>
      <c r="P38" s="17">
        <f t="shared" ref="P38:S38" si="24">100000/5</f>
        <v>20000</v>
      </c>
      <c r="Q38" s="17">
        <f t="shared" si="24"/>
        <v>20000</v>
      </c>
      <c r="R38" s="17">
        <f t="shared" si="24"/>
        <v>20000</v>
      </c>
      <c r="S38" s="17">
        <f t="shared" si="24"/>
        <v>20000</v>
      </c>
      <c r="T38" s="43"/>
      <c r="U38" s="11">
        <f t="shared" si="9"/>
        <v>100000</v>
      </c>
      <c r="V38" s="11">
        <f t="shared" si="10"/>
        <v>0</v>
      </c>
    </row>
    <row r="39" spans="1:22" ht="25.5" x14ac:dyDescent="0.25">
      <c r="A39" s="2" t="s">
        <v>60</v>
      </c>
      <c r="B39" s="3" t="s">
        <v>61</v>
      </c>
      <c r="C39" s="11">
        <v>2700000</v>
      </c>
      <c r="D39" s="12"/>
      <c r="E39" s="13"/>
      <c r="F39" s="13"/>
      <c r="G39" s="14"/>
      <c r="H39" s="27">
        <f t="shared" si="7"/>
        <v>2700000</v>
      </c>
      <c r="I39" s="48"/>
      <c r="J39" s="51"/>
      <c r="K39" s="51"/>
      <c r="L39" s="51"/>
      <c r="M39" s="51"/>
      <c r="N39" s="51"/>
      <c r="O39" s="17">
        <f>2700000/5</f>
        <v>540000</v>
      </c>
      <c r="P39" s="17">
        <f t="shared" ref="P39:S39" si="25">2700000/5</f>
        <v>540000</v>
      </c>
      <c r="Q39" s="17">
        <f t="shared" si="25"/>
        <v>540000</v>
      </c>
      <c r="R39" s="17">
        <f t="shared" si="25"/>
        <v>540000</v>
      </c>
      <c r="S39" s="17">
        <f t="shared" si="25"/>
        <v>540000</v>
      </c>
      <c r="T39" s="43"/>
      <c r="U39" s="11">
        <f t="shared" si="9"/>
        <v>2700000</v>
      </c>
      <c r="V39" s="11">
        <f t="shared" si="10"/>
        <v>0</v>
      </c>
    </row>
    <row r="40" spans="1:22" ht="25.5" x14ac:dyDescent="0.25">
      <c r="A40" s="2" t="s">
        <v>62</v>
      </c>
      <c r="B40" s="3" t="s">
        <v>63</v>
      </c>
      <c r="C40" s="11">
        <v>4700000</v>
      </c>
      <c r="D40" s="12"/>
      <c r="E40" s="13"/>
      <c r="F40" s="13"/>
      <c r="G40" s="14"/>
      <c r="H40" s="27">
        <f t="shared" si="7"/>
        <v>4700000</v>
      </c>
      <c r="I40" s="48">
        <v>325766</v>
      </c>
      <c r="J40" s="51">
        <v>289469</v>
      </c>
      <c r="K40" s="51"/>
      <c r="L40" s="51"/>
      <c r="M40" s="51"/>
      <c r="N40" s="51"/>
      <c r="O40" s="17">
        <f>4084765/6</f>
        <v>680794.16666666663</v>
      </c>
      <c r="P40" s="17">
        <f t="shared" ref="P40:T40" si="26">4084765/6</f>
        <v>680794.16666666663</v>
      </c>
      <c r="Q40" s="17">
        <f t="shared" si="26"/>
        <v>680794.16666666663</v>
      </c>
      <c r="R40" s="17">
        <f t="shared" si="26"/>
        <v>680794.16666666663</v>
      </c>
      <c r="S40" s="17">
        <f t="shared" si="26"/>
        <v>680794.16666666663</v>
      </c>
      <c r="T40" s="17">
        <f t="shared" si="26"/>
        <v>680794.16666666663</v>
      </c>
      <c r="U40" s="11">
        <f t="shared" si="9"/>
        <v>4699999.9999999991</v>
      </c>
      <c r="V40" s="11">
        <f t="shared" si="10"/>
        <v>0</v>
      </c>
    </row>
    <row r="41" spans="1:22" ht="25.5" x14ac:dyDescent="0.25">
      <c r="A41" s="2" t="s">
        <v>85</v>
      </c>
      <c r="B41" s="3" t="s">
        <v>86</v>
      </c>
      <c r="C41" s="11">
        <v>0</v>
      </c>
      <c r="D41" s="12">
        <v>3000000</v>
      </c>
      <c r="E41" s="13"/>
      <c r="F41" s="13"/>
      <c r="G41" s="14"/>
      <c r="H41" s="27">
        <f t="shared" si="7"/>
        <v>3000000</v>
      </c>
      <c r="I41" s="48"/>
      <c r="J41" s="51">
        <v>79597</v>
      </c>
      <c r="K41" s="51">
        <v>278851</v>
      </c>
      <c r="L41" s="51">
        <v>475275</v>
      </c>
      <c r="M41" s="51">
        <v>388381</v>
      </c>
      <c r="N41" s="51">
        <v>387958</v>
      </c>
      <c r="O41" s="17">
        <f>1389938/6</f>
        <v>231656.33333333334</v>
      </c>
      <c r="P41" s="17">
        <f t="shared" ref="P41:T41" si="27">1389938/6</f>
        <v>231656.33333333334</v>
      </c>
      <c r="Q41" s="17">
        <f t="shared" si="27"/>
        <v>231656.33333333334</v>
      </c>
      <c r="R41" s="17">
        <f t="shared" si="27"/>
        <v>231656.33333333334</v>
      </c>
      <c r="S41" s="17">
        <f t="shared" si="27"/>
        <v>231656.33333333334</v>
      </c>
      <c r="T41" s="17">
        <f t="shared" si="27"/>
        <v>231656.33333333334</v>
      </c>
      <c r="U41" s="11">
        <f t="shared" si="9"/>
        <v>3000000.0000000005</v>
      </c>
      <c r="V41" s="11">
        <f t="shared" si="10"/>
        <v>0</v>
      </c>
    </row>
    <row r="42" spans="1:22" ht="25.5" x14ac:dyDescent="0.25">
      <c r="A42" s="2" t="s">
        <v>64</v>
      </c>
      <c r="B42" s="3" t="s">
        <v>65</v>
      </c>
      <c r="C42" s="11">
        <v>1000</v>
      </c>
      <c r="D42" s="12"/>
      <c r="E42" s="13"/>
      <c r="F42" s="13"/>
      <c r="G42" s="14"/>
      <c r="H42" s="27">
        <f t="shared" si="7"/>
        <v>1000</v>
      </c>
      <c r="I42" s="48"/>
      <c r="J42" s="51"/>
      <c r="K42" s="51"/>
      <c r="L42" s="51"/>
      <c r="M42" s="51"/>
      <c r="N42" s="51"/>
      <c r="O42" s="17">
        <f>1000/6</f>
        <v>166.66666666666666</v>
      </c>
      <c r="P42" s="17">
        <f t="shared" ref="P42:T43" si="28">1000/6</f>
        <v>166.66666666666666</v>
      </c>
      <c r="Q42" s="17">
        <f t="shared" si="28"/>
        <v>166.66666666666666</v>
      </c>
      <c r="R42" s="17">
        <f t="shared" si="28"/>
        <v>166.66666666666666</v>
      </c>
      <c r="S42" s="17">
        <f t="shared" si="28"/>
        <v>166.66666666666666</v>
      </c>
      <c r="T42" s="17">
        <f t="shared" si="28"/>
        <v>166.66666666666666</v>
      </c>
      <c r="U42" s="11">
        <f t="shared" si="9"/>
        <v>999.99999999999989</v>
      </c>
      <c r="V42" s="11">
        <f t="shared" si="10"/>
        <v>0</v>
      </c>
    </row>
    <row r="43" spans="1:22" ht="25.5" x14ac:dyDescent="0.25">
      <c r="A43" s="2" t="s">
        <v>66</v>
      </c>
      <c r="B43" s="3" t="s">
        <v>67</v>
      </c>
      <c r="C43" s="11">
        <v>1000</v>
      </c>
      <c r="D43" s="12"/>
      <c r="E43" s="13"/>
      <c r="F43" s="13"/>
      <c r="G43" s="14"/>
      <c r="H43" s="27">
        <f t="shared" si="7"/>
        <v>1000</v>
      </c>
      <c r="I43" s="48"/>
      <c r="J43" s="51"/>
      <c r="K43" s="51"/>
      <c r="L43" s="51"/>
      <c r="M43" s="51"/>
      <c r="N43" s="51"/>
      <c r="O43" s="17">
        <f>1000/6</f>
        <v>166.66666666666666</v>
      </c>
      <c r="P43" s="17">
        <f t="shared" si="28"/>
        <v>166.66666666666666</v>
      </c>
      <c r="Q43" s="17">
        <f t="shared" si="28"/>
        <v>166.66666666666666</v>
      </c>
      <c r="R43" s="17">
        <f t="shared" si="28"/>
        <v>166.66666666666666</v>
      </c>
      <c r="S43" s="17">
        <f t="shared" si="28"/>
        <v>166.66666666666666</v>
      </c>
      <c r="T43" s="17">
        <f t="shared" si="28"/>
        <v>166.66666666666666</v>
      </c>
      <c r="U43" s="11">
        <f t="shared" si="9"/>
        <v>999.99999999999989</v>
      </c>
      <c r="V43" s="11">
        <f t="shared" si="10"/>
        <v>0</v>
      </c>
    </row>
    <row r="44" spans="1:22" ht="13.5" thickBot="1" x14ac:dyDescent="0.3">
      <c r="A44" s="6"/>
      <c r="B44" s="7"/>
      <c r="C44" s="19"/>
      <c r="D44" s="20"/>
      <c r="E44" s="21"/>
      <c r="F44" s="21"/>
      <c r="G44" s="22"/>
      <c r="H44" s="40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19"/>
    </row>
    <row r="45" spans="1:22" ht="13.5" thickBot="1" x14ac:dyDescent="0.3">
      <c r="A45" s="75" t="s">
        <v>26</v>
      </c>
      <c r="B45" s="76"/>
      <c r="C45" s="23">
        <f t="shared" ref="C45:V45" si="29">SUM(C22:C44)</f>
        <v>103103000</v>
      </c>
      <c r="D45" s="24">
        <f t="shared" si="29"/>
        <v>39191527</v>
      </c>
      <c r="E45" s="25">
        <f t="shared" si="29"/>
        <v>1660000</v>
      </c>
      <c r="F45" s="25">
        <f t="shared" si="29"/>
        <v>8000000</v>
      </c>
      <c r="G45" s="26">
        <f t="shared" si="29"/>
        <v>8000000</v>
      </c>
      <c r="H45" s="23">
        <f>SUM(H22:H44)</f>
        <v>140634527</v>
      </c>
      <c r="I45" s="37">
        <f t="shared" si="29"/>
        <v>507146</v>
      </c>
      <c r="J45" s="38">
        <f t="shared" si="29"/>
        <v>475357</v>
      </c>
      <c r="K45" s="38">
        <f t="shared" si="29"/>
        <v>370124</v>
      </c>
      <c r="L45" s="38">
        <f t="shared" si="29"/>
        <v>7766548</v>
      </c>
      <c r="M45" s="38">
        <f t="shared" si="29"/>
        <v>1679654</v>
      </c>
      <c r="N45" s="38">
        <f t="shared" si="29"/>
        <v>5433231</v>
      </c>
      <c r="O45" s="38">
        <f t="shared" si="29"/>
        <v>24637240.56666667</v>
      </c>
      <c r="P45" s="38">
        <f t="shared" si="29"/>
        <v>24637240.56666667</v>
      </c>
      <c r="Q45" s="38">
        <f t="shared" si="29"/>
        <v>24637240.56666667</v>
      </c>
      <c r="R45" s="38">
        <f t="shared" si="29"/>
        <v>24637240.56666667</v>
      </c>
      <c r="S45" s="38">
        <f t="shared" si="29"/>
        <v>24637240.56666667</v>
      </c>
      <c r="T45" s="39">
        <f t="shared" si="29"/>
        <v>1216264.1666666667</v>
      </c>
      <c r="U45" s="23">
        <f t="shared" si="29"/>
        <v>140634527</v>
      </c>
      <c r="V45" s="23">
        <f t="shared" si="29"/>
        <v>0</v>
      </c>
    </row>
  </sheetData>
  <mergeCells count="67">
    <mergeCell ref="V20:V21"/>
    <mergeCell ref="A45:B45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4" orientation="landscape" r:id="rId1"/>
  <headerFooter>
    <oddFooter>&amp;L&amp;F&amp;C&amp;A&amp;R&amp;P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sqref="A1:XFD1048576"/>
    </sheetView>
  </sheetViews>
  <sheetFormatPr baseColWidth="10" defaultColWidth="11.42578125" defaultRowHeight="12.75" x14ac:dyDescent="0.25"/>
  <cols>
    <col min="1" max="1" width="11.140625" style="1" customWidth="1"/>
    <col min="2" max="2" width="19.14062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8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89.2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50"/>
      <c r="P8" s="29"/>
      <c r="Q8" s="29"/>
      <c r="R8" s="29"/>
      <c r="S8" s="29"/>
      <c r="T8" s="41"/>
      <c r="U8" s="42">
        <f>SUM(I8:T8)</f>
        <v>4141000</v>
      </c>
      <c r="V8" s="11">
        <f>H8-U8</f>
        <v>-141000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51">
        <v>133000</v>
      </c>
      <c r="P9" s="17">
        <f>1155000/5</f>
        <v>231000</v>
      </c>
      <c r="Q9" s="17">
        <f t="shared" ref="Q9:T9" si="1">1155000/5</f>
        <v>231000</v>
      </c>
      <c r="R9" s="17">
        <f t="shared" si="1"/>
        <v>231000</v>
      </c>
      <c r="S9" s="17">
        <f t="shared" si="1"/>
        <v>231000</v>
      </c>
      <c r="T9" s="17">
        <f t="shared" si="1"/>
        <v>231000</v>
      </c>
      <c r="U9" s="15">
        <f t="shared" ref="U9:U16" si="2">SUM(I9:T9)</f>
        <v>3000000</v>
      </c>
      <c r="V9" s="15">
        <f t="shared" ref="V9:V16" si="3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51"/>
      <c r="P10" s="17"/>
      <c r="Q10" s="17"/>
      <c r="R10" s="17"/>
      <c r="S10" s="17"/>
      <c r="T10" s="43"/>
      <c r="U10" s="15">
        <f t="shared" si="2"/>
        <v>88979426</v>
      </c>
      <c r="V10" s="15">
        <f t="shared" si="3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51"/>
      <c r="P11" s="17"/>
      <c r="Q11" s="17"/>
      <c r="R11" s="17"/>
      <c r="S11" s="17"/>
      <c r="T11" s="43"/>
      <c r="U11" s="15">
        <f t="shared" si="2"/>
        <v>32340000</v>
      </c>
      <c r="V11" s="15">
        <f t="shared" si="3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51">
        <v>706.24</v>
      </c>
      <c r="P12" s="17">
        <f>96499/5</f>
        <v>19299.8</v>
      </c>
      <c r="Q12" s="17">
        <f t="shared" ref="Q12:T12" si="4">96499/5</f>
        <v>19299.8</v>
      </c>
      <c r="R12" s="17">
        <f t="shared" si="4"/>
        <v>19299.8</v>
      </c>
      <c r="S12" s="17">
        <f t="shared" si="4"/>
        <v>19299.8</v>
      </c>
      <c r="T12" s="17">
        <f t="shared" si="4"/>
        <v>19299.8</v>
      </c>
      <c r="U12" s="15">
        <f t="shared" si="2"/>
        <v>99999.83</v>
      </c>
      <c r="V12" s="15">
        <f t="shared" si="3"/>
        <v>0.16999999999825377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52"/>
      <c r="P13" s="21">
        <v>1000</v>
      </c>
      <c r="Q13" s="21"/>
      <c r="R13" s="21"/>
      <c r="S13" s="21"/>
      <c r="T13" s="46"/>
      <c r="U13" s="15">
        <f t="shared" si="2"/>
        <v>4374645</v>
      </c>
      <c r="V13" s="15">
        <f t="shared" si="3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52"/>
      <c r="P14" s="21">
        <v>1000</v>
      </c>
      <c r="Q14" s="21"/>
      <c r="R14" s="21"/>
      <c r="S14" s="21"/>
      <c r="T14" s="46"/>
      <c r="U14" s="15">
        <f t="shared" si="2"/>
        <v>959084</v>
      </c>
      <c r="V14" s="15">
        <f t="shared" si="3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52"/>
      <c r="P15" s="21">
        <v>1000</v>
      </c>
      <c r="Q15" s="21"/>
      <c r="R15" s="21"/>
      <c r="S15" s="21"/>
      <c r="T15" s="46"/>
      <c r="U15" s="15">
        <f t="shared" si="2"/>
        <v>6881372</v>
      </c>
      <c r="V15" s="15">
        <f t="shared" si="3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2"/>
        <v>0</v>
      </c>
      <c r="V16" s="15">
        <f t="shared" si="3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5">SUM(H8:H16)</f>
        <v>140634527</v>
      </c>
      <c r="I17" s="37">
        <f t="shared" si="5"/>
        <v>682459</v>
      </c>
      <c r="J17" s="38">
        <f t="shared" si="5"/>
        <v>13561514</v>
      </c>
      <c r="K17" s="38">
        <f t="shared" si="5"/>
        <v>299075.48</v>
      </c>
      <c r="L17" s="38">
        <f t="shared" si="5"/>
        <v>89300827.400000006</v>
      </c>
      <c r="M17" s="38">
        <f t="shared" si="5"/>
        <v>33740745.18</v>
      </c>
      <c r="N17" s="38">
        <f t="shared" si="5"/>
        <v>1802700.53</v>
      </c>
      <c r="O17" s="38">
        <f t="shared" si="5"/>
        <v>133706.23999999999</v>
      </c>
      <c r="P17" s="38">
        <f t="shared" si="5"/>
        <v>253299.8</v>
      </c>
      <c r="Q17" s="38">
        <f t="shared" si="5"/>
        <v>250299.8</v>
      </c>
      <c r="R17" s="38">
        <f t="shared" si="5"/>
        <v>250299.8</v>
      </c>
      <c r="S17" s="38">
        <f t="shared" si="5"/>
        <v>250299.8</v>
      </c>
      <c r="T17" s="39">
        <f t="shared" si="5"/>
        <v>250299.8</v>
      </c>
      <c r="U17" s="23">
        <f t="shared" si="5"/>
        <v>140775526.82999998</v>
      </c>
      <c r="V17" s="23">
        <f t="shared" si="5"/>
        <v>-140999.83000000002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>
        <v>7000000</v>
      </c>
      <c r="E22" s="13"/>
      <c r="F22" s="13"/>
      <c r="G22" s="14">
        <v>8000000</v>
      </c>
      <c r="H22" s="27">
        <f>C22+D22-E22+F22-G22</f>
        <v>8700000</v>
      </c>
      <c r="I22" s="47"/>
      <c r="J22" s="50"/>
      <c r="K22" s="50"/>
      <c r="L22" s="50"/>
      <c r="M22" s="50"/>
      <c r="N22" s="50"/>
      <c r="O22" s="50"/>
      <c r="P22" s="29">
        <f>8700000/4</f>
        <v>2175000</v>
      </c>
      <c r="Q22" s="29">
        <f t="shared" ref="Q22:S22" si="6">8700000/4</f>
        <v>2175000</v>
      </c>
      <c r="R22" s="29">
        <f t="shared" si="6"/>
        <v>2175000</v>
      </c>
      <c r="S22" s="29">
        <f t="shared" si="6"/>
        <v>2175000</v>
      </c>
      <c r="T22" s="41"/>
      <c r="U22" s="42">
        <f>SUM(I22:T22)</f>
        <v>8700000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3" si="7">C23+D23-E23+F23-G23</f>
        <v>4400000</v>
      </c>
      <c r="I23" s="48"/>
      <c r="J23" s="51"/>
      <c r="K23" s="51"/>
      <c r="L23" s="51"/>
      <c r="M23" s="51"/>
      <c r="N23" s="51"/>
      <c r="O23" s="51"/>
      <c r="P23" s="17">
        <f>4400000/4</f>
        <v>1100000</v>
      </c>
      <c r="Q23" s="17">
        <f t="shared" ref="Q23:S23" si="8">4400000/4</f>
        <v>1100000</v>
      </c>
      <c r="R23" s="17">
        <f t="shared" si="8"/>
        <v>1100000</v>
      </c>
      <c r="S23" s="17">
        <f t="shared" si="8"/>
        <v>1100000</v>
      </c>
      <c r="T23" s="43"/>
      <c r="U23" s="11">
        <f t="shared" ref="U23:U43" si="9">SUM(I23:T23)</f>
        <v>4400000</v>
      </c>
      <c r="V23" s="11">
        <f t="shared" ref="V23:V43" si="10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7"/>
        <v>14100000</v>
      </c>
      <c r="I24" s="48"/>
      <c r="J24" s="51"/>
      <c r="K24" s="51"/>
      <c r="L24" s="51"/>
      <c r="M24" s="51"/>
      <c r="N24" s="51"/>
      <c r="O24" s="51"/>
      <c r="P24" s="17">
        <f>14100000/4</f>
        <v>3525000</v>
      </c>
      <c r="Q24" s="17">
        <f t="shared" ref="Q24:S24" si="11">14100000/4</f>
        <v>3525000</v>
      </c>
      <c r="R24" s="17">
        <f t="shared" si="11"/>
        <v>3525000</v>
      </c>
      <c r="S24" s="17">
        <f t="shared" si="11"/>
        <v>3525000</v>
      </c>
      <c r="T24" s="43"/>
      <c r="U24" s="11">
        <f t="shared" si="9"/>
        <v>14100000</v>
      </c>
      <c r="V24" s="11">
        <f t="shared" si="10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7"/>
        <v>1000</v>
      </c>
      <c r="I25" s="48"/>
      <c r="J25" s="51"/>
      <c r="K25" s="51"/>
      <c r="L25" s="51"/>
      <c r="M25" s="51"/>
      <c r="N25" s="51"/>
      <c r="O25" s="51"/>
      <c r="P25" s="17">
        <f>1000/4</f>
        <v>250</v>
      </c>
      <c r="Q25" s="17">
        <f t="shared" ref="Q25:S25" si="12">1000/4</f>
        <v>250</v>
      </c>
      <c r="R25" s="17">
        <f t="shared" si="12"/>
        <v>250</v>
      </c>
      <c r="S25" s="17">
        <f t="shared" si="12"/>
        <v>250</v>
      </c>
      <c r="T25" s="43"/>
      <c r="U25" s="11">
        <f t="shared" si="9"/>
        <v>1000</v>
      </c>
      <c r="V25" s="11">
        <f t="shared" si="10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>
        <v>10000000</v>
      </c>
      <c r="E26" s="13"/>
      <c r="F26" s="13"/>
      <c r="G26" s="14"/>
      <c r="H26" s="27">
        <f t="shared" si="7"/>
        <v>24200000</v>
      </c>
      <c r="I26" s="48"/>
      <c r="J26" s="51"/>
      <c r="K26" s="51"/>
      <c r="L26" s="51"/>
      <c r="M26" s="51"/>
      <c r="N26" s="51"/>
      <c r="O26" s="51"/>
      <c r="P26" s="17">
        <f>24200000/4</f>
        <v>6050000</v>
      </c>
      <c r="Q26" s="17">
        <f t="shared" ref="Q26:S26" si="13">24200000/4</f>
        <v>6050000</v>
      </c>
      <c r="R26" s="17">
        <f t="shared" si="13"/>
        <v>6050000</v>
      </c>
      <c r="S26" s="17">
        <f t="shared" si="13"/>
        <v>6050000</v>
      </c>
      <c r="T26" s="43"/>
      <c r="U26" s="11">
        <f t="shared" si="9"/>
        <v>24200000</v>
      </c>
      <c r="V26" s="11">
        <f t="shared" si="10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>
        <v>1660000</v>
      </c>
      <c r="F27" s="13"/>
      <c r="G27" s="14"/>
      <c r="H27" s="27">
        <f t="shared" si="7"/>
        <v>9940000</v>
      </c>
      <c r="I27" s="48"/>
      <c r="J27" s="51"/>
      <c r="K27" s="51"/>
      <c r="L27" s="51"/>
      <c r="M27" s="51"/>
      <c r="N27" s="51"/>
      <c r="O27" s="51"/>
      <c r="P27" s="17">
        <f>9940000/4</f>
        <v>2485000</v>
      </c>
      <c r="Q27" s="17">
        <f t="shared" ref="Q27:S27" si="14">9940000/4</f>
        <v>2485000</v>
      </c>
      <c r="R27" s="17">
        <f t="shared" si="14"/>
        <v>2485000</v>
      </c>
      <c r="S27" s="17">
        <f t="shared" si="14"/>
        <v>2485000</v>
      </c>
      <c r="T27" s="43"/>
      <c r="U27" s="11">
        <f t="shared" si="9"/>
        <v>9940000</v>
      </c>
      <c r="V27" s="11">
        <f t="shared" si="10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7"/>
        <v>958084</v>
      </c>
      <c r="I28" s="48"/>
      <c r="J28" s="51"/>
      <c r="K28" s="51"/>
      <c r="L28" s="51"/>
      <c r="M28" s="51"/>
      <c r="N28" s="51"/>
      <c r="O28" s="51"/>
      <c r="P28" s="17">
        <f>958084/4</f>
        <v>239521</v>
      </c>
      <c r="Q28" s="17">
        <f t="shared" ref="Q28:S28" si="15">958084/4</f>
        <v>239521</v>
      </c>
      <c r="R28" s="17">
        <f t="shared" si="15"/>
        <v>239521</v>
      </c>
      <c r="S28" s="17">
        <f t="shared" si="15"/>
        <v>239521</v>
      </c>
      <c r="T28" s="43"/>
      <c r="U28" s="11">
        <f t="shared" si="9"/>
        <v>958084</v>
      </c>
      <c r="V28" s="11">
        <f t="shared" si="10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7"/>
        <v>6880372</v>
      </c>
      <c r="I29" s="48"/>
      <c r="J29" s="51"/>
      <c r="K29" s="51"/>
      <c r="L29" s="51"/>
      <c r="M29" s="51"/>
      <c r="N29" s="51"/>
      <c r="O29" s="51"/>
      <c r="P29" s="17">
        <f>6880372/4</f>
        <v>1720093</v>
      </c>
      <c r="Q29" s="17">
        <f t="shared" ref="Q29:S29" si="16">6880372/4</f>
        <v>1720093</v>
      </c>
      <c r="R29" s="17">
        <f t="shared" si="16"/>
        <v>1720093</v>
      </c>
      <c r="S29" s="17">
        <f t="shared" si="16"/>
        <v>1720093</v>
      </c>
      <c r="T29" s="43"/>
      <c r="U29" s="11">
        <f t="shared" si="9"/>
        <v>6880372</v>
      </c>
      <c r="V29" s="11">
        <f t="shared" si="10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7"/>
        <v>1100000</v>
      </c>
      <c r="I30" s="48">
        <v>181380</v>
      </c>
      <c r="J30" s="51">
        <v>106291</v>
      </c>
      <c r="K30" s="51">
        <v>91273</v>
      </c>
      <c r="L30" s="51">
        <v>91273</v>
      </c>
      <c r="M30" s="51">
        <v>91273</v>
      </c>
      <c r="N30" s="51">
        <v>91273</v>
      </c>
      <c r="O30" s="51">
        <v>91273</v>
      </c>
      <c r="P30" s="17">
        <f>355964/5</f>
        <v>71192.800000000003</v>
      </c>
      <c r="Q30" s="17">
        <f t="shared" ref="Q30:T30" si="17">355964/5</f>
        <v>71192.800000000003</v>
      </c>
      <c r="R30" s="17">
        <f t="shared" si="17"/>
        <v>71192.800000000003</v>
      </c>
      <c r="S30" s="17">
        <f t="shared" si="17"/>
        <v>71192.800000000003</v>
      </c>
      <c r="T30" s="17">
        <f t="shared" si="17"/>
        <v>71192.800000000003</v>
      </c>
      <c r="U30" s="11">
        <f t="shared" si="9"/>
        <v>1100000.0000000002</v>
      </c>
      <c r="V30" s="11">
        <f t="shared" si="10"/>
        <v>0</v>
      </c>
    </row>
    <row r="31" spans="1:22" ht="25.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7"/>
        <v>1373645</v>
      </c>
      <c r="I31" s="48"/>
      <c r="J31" s="51"/>
      <c r="K31" s="51"/>
      <c r="L31" s="51"/>
      <c r="M31" s="51"/>
      <c r="N31" s="51"/>
      <c r="O31" s="51"/>
      <c r="P31" s="17">
        <f>1373645/5</f>
        <v>274729</v>
      </c>
      <c r="Q31" s="17">
        <f t="shared" ref="Q31:T31" si="18">1373645/5</f>
        <v>274729</v>
      </c>
      <c r="R31" s="17">
        <f t="shared" si="18"/>
        <v>274729</v>
      </c>
      <c r="S31" s="17">
        <f t="shared" si="18"/>
        <v>274729</v>
      </c>
      <c r="T31" s="17">
        <f t="shared" si="18"/>
        <v>274729</v>
      </c>
      <c r="U31" s="11">
        <f t="shared" si="9"/>
        <v>1373645</v>
      </c>
      <c r="V31" s="11">
        <f t="shared" si="10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>
        <v>2000000</v>
      </c>
      <c r="E32" s="13"/>
      <c r="F32" s="13"/>
      <c r="G32" s="14"/>
      <c r="H32" s="27">
        <f t="shared" si="7"/>
        <v>7000000</v>
      </c>
      <c r="I32" s="48"/>
      <c r="J32" s="51"/>
      <c r="K32" s="51"/>
      <c r="L32" s="51"/>
      <c r="M32" s="51"/>
      <c r="N32" s="51"/>
      <c r="O32" s="51"/>
      <c r="P32" s="17">
        <f>7000000/4</f>
        <v>1750000</v>
      </c>
      <c r="Q32" s="17">
        <f t="shared" ref="Q32:S32" si="19">7000000/4</f>
        <v>1750000</v>
      </c>
      <c r="R32" s="17">
        <f t="shared" si="19"/>
        <v>1750000</v>
      </c>
      <c r="S32" s="17">
        <f t="shared" si="19"/>
        <v>1750000</v>
      </c>
      <c r="T32" s="43"/>
      <c r="U32" s="11">
        <f t="shared" si="9"/>
        <v>7000000</v>
      </c>
      <c r="V32" s="11">
        <f t="shared" si="10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7"/>
        <v>24000000</v>
      </c>
      <c r="I33" s="48"/>
      <c r="J33" s="51"/>
      <c r="K33" s="51"/>
      <c r="L33" s="51">
        <v>7200000</v>
      </c>
      <c r="M33" s="51">
        <v>1200000</v>
      </c>
      <c r="N33" s="51">
        <v>3600000</v>
      </c>
      <c r="O33" s="51"/>
      <c r="P33" s="17">
        <f>12000000/4</f>
        <v>3000000</v>
      </c>
      <c r="Q33" s="17">
        <f t="shared" ref="Q33:S33" si="20">12000000/4</f>
        <v>3000000</v>
      </c>
      <c r="R33" s="17">
        <f t="shared" si="20"/>
        <v>3000000</v>
      </c>
      <c r="S33" s="17">
        <f t="shared" si="20"/>
        <v>3000000</v>
      </c>
      <c r="T33" s="43"/>
      <c r="U33" s="11">
        <f t="shared" si="9"/>
        <v>24000000</v>
      </c>
      <c r="V33" s="11">
        <f t="shared" si="10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7"/>
        <v>4300000</v>
      </c>
      <c r="I34" s="48"/>
      <c r="J34" s="51"/>
      <c r="K34" s="51"/>
      <c r="L34" s="51"/>
      <c r="M34" s="51"/>
      <c r="N34" s="51"/>
      <c r="O34" s="51"/>
      <c r="P34" s="17">
        <f>4300000/4</f>
        <v>1075000</v>
      </c>
      <c r="Q34" s="17">
        <f t="shared" ref="Q34:S34" si="21">4300000/4</f>
        <v>1075000</v>
      </c>
      <c r="R34" s="17">
        <f t="shared" si="21"/>
        <v>1075000</v>
      </c>
      <c r="S34" s="17">
        <f t="shared" si="21"/>
        <v>1075000</v>
      </c>
      <c r="T34" s="43"/>
      <c r="U34" s="11">
        <f t="shared" si="9"/>
        <v>4300000</v>
      </c>
      <c r="V34" s="11">
        <f t="shared" si="10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7"/>
        <v>3200000</v>
      </c>
      <c r="I35" s="48"/>
      <c r="J35" s="51"/>
      <c r="K35" s="51"/>
      <c r="L35" s="51"/>
      <c r="M35" s="51"/>
      <c r="N35" s="51"/>
      <c r="O35" s="51"/>
      <c r="P35" s="17">
        <f>3200000/4</f>
        <v>800000</v>
      </c>
      <c r="Q35" s="17">
        <f t="shared" ref="Q35:S35" si="22">3200000/4</f>
        <v>800000</v>
      </c>
      <c r="R35" s="17">
        <f t="shared" si="22"/>
        <v>800000</v>
      </c>
      <c r="S35" s="17">
        <f t="shared" si="22"/>
        <v>800000</v>
      </c>
      <c r="T35" s="43"/>
      <c r="U35" s="11">
        <f t="shared" si="9"/>
        <v>3200000</v>
      </c>
      <c r="V35" s="11">
        <f t="shared" si="10"/>
        <v>0</v>
      </c>
    </row>
    <row r="36" spans="1:22" ht="25.5" x14ac:dyDescent="0.25">
      <c r="A36" s="2" t="s">
        <v>88</v>
      </c>
      <c r="B36" s="3" t="s">
        <v>87</v>
      </c>
      <c r="C36" s="11">
        <v>0</v>
      </c>
      <c r="D36" s="12">
        <v>7979426</v>
      </c>
      <c r="E36" s="13"/>
      <c r="F36" s="13"/>
      <c r="G36" s="14"/>
      <c r="H36" s="27">
        <f t="shared" si="7"/>
        <v>7979426</v>
      </c>
      <c r="I36" s="48"/>
      <c r="J36" s="51"/>
      <c r="K36" s="51"/>
      <c r="L36" s="51"/>
      <c r="M36" s="51"/>
      <c r="N36" s="51">
        <v>1354000</v>
      </c>
      <c r="O36" s="51"/>
      <c r="P36" s="17">
        <f>6625426/4</f>
        <v>1656356.5</v>
      </c>
      <c r="Q36" s="17">
        <f t="shared" ref="Q36:S36" si="23">6625426/4</f>
        <v>1656356.5</v>
      </c>
      <c r="R36" s="17">
        <f t="shared" si="23"/>
        <v>1656356.5</v>
      </c>
      <c r="S36" s="17">
        <f t="shared" si="23"/>
        <v>1656356.5</v>
      </c>
      <c r="T36" s="43"/>
      <c r="U36" s="11">
        <f t="shared" si="9"/>
        <v>7979426</v>
      </c>
      <c r="V36" s="11">
        <f t="shared" si="10"/>
        <v>0</v>
      </c>
    </row>
    <row r="37" spans="1:22" ht="25.5" x14ac:dyDescent="0.25">
      <c r="A37" s="2" t="s">
        <v>81</v>
      </c>
      <c r="B37" s="3" t="s">
        <v>82</v>
      </c>
      <c r="C37" s="11">
        <v>4000000</v>
      </c>
      <c r="D37" s="12"/>
      <c r="E37" s="13"/>
      <c r="F37" s="13">
        <v>8000000</v>
      </c>
      <c r="G37" s="14"/>
      <c r="H37" s="27">
        <f t="shared" si="7"/>
        <v>12000000</v>
      </c>
      <c r="I37" s="48"/>
      <c r="J37" s="51"/>
      <c r="K37" s="51"/>
      <c r="L37" s="51"/>
      <c r="M37" s="51"/>
      <c r="N37" s="51"/>
      <c r="O37" s="51"/>
      <c r="P37" s="17">
        <f>12000000/4</f>
        <v>3000000</v>
      </c>
      <c r="Q37" s="17">
        <f t="shared" ref="Q37:S37" si="24">12000000/4</f>
        <v>3000000</v>
      </c>
      <c r="R37" s="17">
        <f t="shared" si="24"/>
        <v>3000000</v>
      </c>
      <c r="S37" s="17">
        <f t="shared" si="24"/>
        <v>3000000</v>
      </c>
      <c r="T37" s="43"/>
      <c r="U37" s="11">
        <f t="shared" si="9"/>
        <v>12000000</v>
      </c>
      <c r="V37" s="11">
        <f t="shared" si="10"/>
        <v>0</v>
      </c>
    </row>
    <row r="38" spans="1:22" ht="25.5" x14ac:dyDescent="0.25">
      <c r="A38" s="2" t="s">
        <v>83</v>
      </c>
      <c r="B38" s="3" t="s">
        <v>84</v>
      </c>
      <c r="C38" s="11">
        <v>100000</v>
      </c>
      <c r="D38" s="12"/>
      <c r="E38" s="13"/>
      <c r="F38" s="13"/>
      <c r="G38" s="14"/>
      <c r="H38" s="27">
        <f t="shared" si="7"/>
        <v>100000</v>
      </c>
      <c r="I38" s="48"/>
      <c r="J38" s="51"/>
      <c r="K38" s="51"/>
      <c r="L38" s="51"/>
      <c r="M38" s="51"/>
      <c r="N38" s="51"/>
      <c r="O38" s="51"/>
      <c r="P38" s="17">
        <f>100000/4</f>
        <v>25000</v>
      </c>
      <c r="Q38" s="17">
        <f t="shared" ref="Q38:S38" si="25">100000/4</f>
        <v>25000</v>
      </c>
      <c r="R38" s="17">
        <f t="shared" si="25"/>
        <v>25000</v>
      </c>
      <c r="S38" s="17">
        <f t="shared" si="25"/>
        <v>25000</v>
      </c>
      <c r="T38" s="43"/>
      <c r="U38" s="11">
        <f t="shared" si="9"/>
        <v>100000</v>
      </c>
      <c r="V38" s="11">
        <f t="shared" si="10"/>
        <v>0</v>
      </c>
    </row>
    <row r="39" spans="1:22" ht="25.5" x14ac:dyDescent="0.25">
      <c r="A39" s="2" t="s">
        <v>60</v>
      </c>
      <c r="B39" s="3" t="s">
        <v>61</v>
      </c>
      <c r="C39" s="11">
        <v>2700000</v>
      </c>
      <c r="D39" s="12"/>
      <c r="E39" s="13"/>
      <c r="F39" s="13"/>
      <c r="G39" s="14"/>
      <c r="H39" s="27">
        <f t="shared" si="7"/>
        <v>2700000</v>
      </c>
      <c r="I39" s="48"/>
      <c r="J39" s="51"/>
      <c r="K39" s="51"/>
      <c r="L39" s="51"/>
      <c r="M39" s="51"/>
      <c r="N39" s="51"/>
      <c r="O39" s="51"/>
      <c r="P39" s="17">
        <f>2700000/4</f>
        <v>675000</v>
      </c>
      <c r="Q39" s="17">
        <f t="shared" ref="Q39:S39" si="26">2700000/4</f>
        <v>675000</v>
      </c>
      <c r="R39" s="17">
        <f t="shared" si="26"/>
        <v>675000</v>
      </c>
      <c r="S39" s="17">
        <f t="shared" si="26"/>
        <v>675000</v>
      </c>
      <c r="T39" s="43"/>
      <c r="U39" s="11">
        <f t="shared" si="9"/>
        <v>2700000</v>
      </c>
      <c r="V39" s="11">
        <f t="shared" si="10"/>
        <v>0</v>
      </c>
    </row>
    <row r="40" spans="1:22" ht="25.5" x14ac:dyDescent="0.25">
      <c r="A40" s="2" t="s">
        <v>62</v>
      </c>
      <c r="B40" s="3" t="s">
        <v>63</v>
      </c>
      <c r="C40" s="11">
        <v>4700000</v>
      </c>
      <c r="D40" s="12"/>
      <c r="E40" s="13"/>
      <c r="F40" s="13"/>
      <c r="G40" s="14"/>
      <c r="H40" s="27">
        <f t="shared" si="7"/>
        <v>4700000</v>
      </c>
      <c r="I40" s="48">
        <v>325766</v>
      </c>
      <c r="J40" s="51">
        <v>289469</v>
      </c>
      <c r="K40" s="51"/>
      <c r="L40" s="51"/>
      <c r="M40" s="51"/>
      <c r="N40" s="51"/>
      <c r="O40" s="51"/>
      <c r="P40" s="17">
        <f>4084765/5</f>
        <v>816953</v>
      </c>
      <c r="Q40" s="17">
        <f t="shared" ref="Q40:T40" si="27">4084765/5</f>
        <v>816953</v>
      </c>
      <c r="R40" s="17">
        <f t="shared" si="27"/>
        <v>816953</v>
      </c>
      <c r="S40" s="17">
        <f t="shared" si="27"/>
        <v>816953</v>
      </c>
      <c r="T40" s="17">
        <f t="shared" si="27"/>
        <v>816953</v>
      </c>
      <c r="U40" s="11">
        <f t="shared" si="9"/>
        <v>4700000</v>
      </c>
      <c r="V40" s="11">
        <f t="shared" si="10"/>
        <v>0</v>
      </c>
    </row>
    <row r="41" spans="1:22" ht="25.5" x14ac:dyDescent="0.25">
      <c r="A41" s="2" t="s">
        <v>85</v>
      </c>
      <c r="B41" s="3" t="s">
        <v>86</v>
      </c>
      <c r="C41" s="11">
        <v>0</v>
      </c>
      <c r="D41" s="12">
        <v>3000000</v>
      </c>
      <c r="E41" s="13"/>
      <c r="F41" s="13"/>
      <c r="G41" s="14"/>
      <c r="H41" s="27">
        <f t="shared" si="7"/>
        <v>3000000</v>
      </c>
      <c r="I41" s="48"/>
      <c r="J41" s="51">
        <v>79597</v>
      </c>
      <c r="K41" s="51">
        <v>278851</v>
      </c>
      <c r="L41" s="51">
        <v>475275</v>
      </c>
      <c r="M41" s="51">
        <v>388381</v>
      </c>
      <c r="N41" s="51">
        <v>387958</v>
      </c>
      <c r="O41" s="51">
        <v>387958</v>
      </c>
      <c r="P41" s="17">
        <f>1001980/5</f>
        <v>200396</v>
      </c>
      <c r="Q41" s="17">
        <f t="shared" ref="Q41:T41" si="28">1001980/5</f>
        <v>200396</v>
      </c>
      <c r="R41" s="17">
        <f t="shared" si="28"/>
        <v>200396</v>
      </c>
      <c r="S41" s="17">
        <f t="shared" si="28"/>
        <v>200396</v>
      </c>
      <c r="T41" s="17">
        <f t="shared" si="28"/>
        <v>200396</v>
      </c>
      <c r="U41" s="11">
        <f t="shared" si="9"/>
        <v>3000000</v>
      </c>
      <c r="V41" s="11">
        <f t="shared" si="10"/>
        <v>0</v>
      </c>
    </row>
    <row r="42" spans="1:22" ht="25.5" x14ac:dyDescent="0.25">
      <c r="A42" s="2" t="s">
        <v>64</v>
      </c>
      <c r="B42" s="3" t="s">
        <v>65</v>
      </c>
      <c r="C42" s="11">
        <v>1000</v>
      </c>
      <c r="D42" s="12"/>
      <c r="E42" s="13"/>
      <c r="F42" s="13"/>
      <c r="G42" s="14"/>
      <c r="H42" s="27">
        <f t="shared" si="7"/>
        <v>1000</v>
      </c>
      <c r="I42" s="48"/>
      <c r="J42" s="51"/>
      <c r="K42" s="51"/>
      <c r="L42" s="51"/>
      <c r="M42" s="51"/>
      <c r="N42" s="51"/>
      <c r="O42" s="51"/>
      <c r="P42" s="17">
        <f>1000/5</f>
        <v>200</v>
      </c>
      <c r="Q42" s="17">
        <f t="shared" ref="Q42:T43" si="29">1000/5</f>
        <v>200</v>
      </c>
      <c r="R42" s="17">
        <f t="shared" si="29"/>
        <v>200</v>
      </c>
      <c r="S42" s="17">
        <f t="shared" si="29"/>
        <v>200</v>
      </c>
      <c r="T42" s="17">
        <f t="shared" si="29"/>
        <v>200</v>
      </c>
      <c r="U42" s="11">
        <f t="shared" si="9"/>
        <v>1000</v>
      </c>
      <c r="V42" s="11">
        <f t="shared" si="10"/>
        <v>0</v>
      </c>
    </row>
    <row r="43" spans="1:22" ht="25.5" x14ac:dyDescent="0.25">
      <c r="A43" s="2" t="s">
        <v>66</v>
      </c>
      <c r="B43" s="3" t="s">
        <v>67</v>
      </c>
      <c r="C43" s="11">
        <v>1000</v>
      </c>
      <c r="D43" s="12"/>
      <c r="E43" s="13"/>
      <c r="F43" s="13"/>
      <c r="G43" s="14"/>
      <c r="H43" s="27">
        <f t="shared" si="7"/>
        <v>1000</v>
      </c>
      <c r="I43" s="48"/>
      <c r="J43" s="51"/>
      <c r="K43" s="51"/>
      <c r="L43" s="51"/>
      <c r="M43" s="51"/>
      <c r="N43" s="51"/>
      <c r="O43" s="51"/>
      <c r="P43" s="17">
        <f t="shared" ref="P43" si="30">1000/5</f>
        <v>200</v>
      </c>
      <c r="Q43" s="17">
        <f t="shared" si="29"/>
        <v>200</v>
      </c>
      <c r="R43" s="17">
        <f t="shared" si="29"/>
        <v>200</v>
      </c>
      <c r="S43" s="17">
        <f t="shared" si="29"/>
        <v>200</v>
      </c>
      <c r="T43" s="17">
        <f t="shared" si="29"/>
        <v>200</v>
      </c>
      <c r="U43" s="11">
        <f t="shared" si="9"/>
        <v>1000</v>
      </c>
      <c r="V43" s="11">
        <f t="shared" si="10"/>
        <v>0</v>
      </c>
    </row>
    <row r="44" spans="1:22" ht="13.5" thickBot="1" x14ac:dyDescent="0.3">
      <c r="A44" s="6"/>
      <c r="B44" s="7"/>
      <c r="C44" s="19"/>
      <c r="D44" s="20"/>
      <c r="E44" s="21"/>
      <c r="F44" s="21"/>
      <c r="G44" s="22"/>
      <c r="H44" s="40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19"/>
    </row>
    <row r="45" spans="1:22" ht="13.5" thickBot="1" x14ac:dyDescent="0.3">
      <c r="A45" s="75" t="s">
        <v>26</v>
      </c>
      <c r="B45" s="76"/>
      <c r="C45" s="23">
        <f t="shared" ref="C45:V45" si="31">SUM(C22:C44)</f>
        <v>103103000</v>
      </c>
      <c r="D45" s="24">
        <f t="shared" si="31"/>
        <v>39191527</v>
      </c>
      <c r="E45" s="25">
        <f t="shared" si="31"/>
        <v>1660000</v>
      </c>
      <c r="F45" s="25">
        <f t="shared" si="31"/>
        <v>8000000</v>
      </c>
      <c r="G45" s="26">
        <f t="shared" si="31"/>
        <v>8000000</v>
      </c>
      <c r="H45" s="23">
        <f>SUM(H22:H44)</f>
        <v>140634527</v>
      </c>
      <c r="I45" s="37">
        <f t="shared" si="31"/>
        <v>507146</v>
      </c>
      <c r="J45" s="38">
        <f t="shared" si="31"/>
        <v>475357</v>
      </c>
      <c r="K45" s="38">
        <f t="shared" si="31"/>
        <v>370124</v>
      </c>
      <c r="L45" s="38">
        <f t="shared" si="31"/>
        <v>7766548</v>
      </c>
      <c r="M45" s="38">
        <f t="shared" si="31"/>
        <v>1679654</v>
      </c>
      <c r="N45" s="38">
        <f t="shared" si="31"/>
        <v>5433231</v>
      </c>
      <c r="O45" s="38">
        <f t="shared" si="31"/>
        <v>479231</v>
      </c>
      <c r="P45" s="38">
        <f t="shared" si="31"/>
        <v>30639891.300000001</v>
      </c>
      <c r="Q45" s="38">
        <f t="shared" si="31"/>
        <v>30639891.300000001</v>
      </c>
      <c r="R45" s="38">
        <f t="shared" si="31"/>
        <v>30639891.300000001</v>
      </c>
      <c r="S45" s="38">
        <f t="shared" si="31"/>
        <v>30639891.300000001</v>
      </c>
      <c r="T45" s="39">
        <f t="shared" si="31"/>
        <v>1363670.8</v>
      </c>
      <c r="U45" s="23">
        <f t="shared" si="31"/>
        <v>140634527</v>
      </c>
      <c r="V45" s="23">
        <f t="shared" si="31"/>
        <v>0</v>
      </c>
    </row>
  </sheetData>
  <mergeCells count="67">
    <mergeCell ref="V20:V21"/>
    <mergeCell ref="A45:B45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4" orientation="landscape" r:id="rId1"/>
  <headerFooter>
    <oddFooter>&amp;L&amp;F&amp;C&amp;A&amp;R&amp;P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sqref="A1:XFD1048576"/>
    </sheetView>
  </sheetViews>
  <sheetFormatPr baseColWidth="10" defaultColWidth="11.42578125" defaultRowHeight="12.75" x14ac:dyDescent="0.25"/>
  <cols>
    <col min="1" max="1" width="11.140625" style="1" customWidth="1"/>
    <col min="2" max="2" width="19.140625" style="1" customWidth="1"/>
    <col min="3" max="3" width="11.7109375" style="1" customWidth="1"/>
    <col min="4" max="4" width="10.7109375" style="1" customWidth="1"/>
    <col min="5" max="5" width="10.140625" style="1" customWidth="1"/>
    <col min="6" max="7" width="10" style="1" customWidth="1"/>
    <col min="8" max="8" width="11.7109375" style="1" customWidth="1"/>
    <col min="9" max="9" width="8.7109375" style="1" customWidth="1"/>
    <col min="10" max="10" width="10.7109375" style="1" customWidth="1"/>
    <col min="11" max="11" width="10.85546875" style="1" customWidth="1"/>
    <col min="12" max="12" width="10.7109375" style="1" customWidth="1"/>
    <col min="13" max="14" width="11" style="1" customWidth="1"/>
    <col min="15" max="19" width="10.7109375" style="1" customWidth="1"/>
    <col min="20" max="20" width="10.42578125" style="1" customWidth="1"/>
    <col min="21" max="21" width="11.7109375" style="1" customWidth="1"/>
    <col min="22" max="22" width="8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ht="13.5" thickBot="1" x14ac:dyDescent="0.3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25">
      <c r="A6" s="65" t="s">
        <v>2</v>
      </c>
      <c r="B6" s="67" t="s">
        <v>3</v>
      </c>
      <c r="C6" s="60" t="s">
        <v>4</v>
      </c>
      <c r="D6" s="65" t="s">
        <v>5</v>
      </c>
      <c r="E6" s="69"/>
      <c r="F6" s="69"/>
      <c r="G6" s="70"/>
      <c r="H6" s="60" t="s">
        <v>8</v>
      </c>
      <c r="I6" s="73" t="s">
        <v>9</v>
      </c>
      <c r="J6" s="62" t="s">
        <v>10</v>
      </c>
      <c r="K6" s="62" t="s">
        <v>11</v>
      </c>
      <c r="L6" s="62" t="s">
        <v>12</v>
      </c>
      <c r="M6" s="62" t="s">
        <v>13</v>
      </c>
      <c r="N6" s="62" t="s">
        <v>14</v>
      </c>
      <c r="O6" s="62" t="s">
        <v>15</v>
      </c>
      <c r="P6" s="62" t="s">
        <v>16</v>
      </c>
      <c r="Q6" s="62" t="s">
        <v>17</v>
      </c>
      <c r="R6" s="62" t="s">
        <v>18</v>
      </c>
      <c r="S6" s="62" t="s">
        <v>19</v>
      </c>
      <c r="T6" s="67" t="s">
        <v>20</v>
      </c>
      <c r="U6" s="60" t="s">
        <v>21</v>
      </c>
      <c r="V6" s="60" t="s">
        <v>22</v>
      </c>
    </row>
    <row r="7" spans="1:22" ht="13.5" thickBot="1" x14ac:dyDescent="0.3">
      <c r="A7" s="66"/>
      <c r="B7" s="68"/>
      <c r="C7" s="61"/>
      <c r="D7" s="66" t="s">
        <v>6</v>
      </c>
      <c r="E7" s="71"/>
      <c r="F7" s="71" t="s">
        <v>7</v>
      </c>
      <c r="G7" s="72"/>
      <c r="H7" s="61"/>
      <c r="I7" s="74"/>
      <c r="J7" s="63"/>
      <c r="K7" s="63"/>
      <c r="L7" s="63"/>
      <c r="M7" s="63"/>
      <c r="N7" s="63"/>
      <c r="O7" s="63"/>
      <c r="P7" s="63"/>
      <c r="Q7" s="63"/>
      <c r="R7" s="63"/>
      <c r="S7" s="63"/>
      <c r="T7" s="77"/>
      <c r="U7" s="61"/>
      <c r="V7" s="61"/>
    </row>
    <row r="8" spans="1:22" ht="89.25" x14ac:dyDescent="0.25">
      <c r="A8" s="2" t="s">
        <v>28</v>
      </c>
      <c r="B8" s="3" t="s">
        <v>29</v>
      </c>
      <c r="C8" s="11">
        <v>4000000</v>
      </c>
      <c r="D8" s="87"/>
      <c r="E8" s="82"/>
      <c r="F8" s="82"/>
      <c r="G8" s="83"/>
      <c r="H8" s="27">
        <f>C8+D8-F8</f>
        <v>4000000</v>
      </c>
      <c r="I8" s="47"/>
      <c r="J8" s="50">
        <v>880000</v>
      </c>
      <c r="K8" s="50"/>
      <c r="L8" s="50">
        <v>220000</v>
      </c>
      <c r="M8" s="50">
        <v>1281000</v>
      </c>
      <c r="N8" s="50">
        <v>1760000</v>
      </c>
      <c r="O8" s="50"/>
      <c r="P8" s="50">
        <v>330000</v>
      </c>
      <c r="Q8" s="29"/>
      <c r="R8" s="29"/>
      <c r="S8" s="29"/>
      <c r="T8" s="41"/>
      <c r="U8" s="42">
        <f>SUM(I8:T8)</f>
        <v>4471000</v>
      </c>
      <c r="V8" s="11">
        <f>H8-U8</f>
        <v>-471000</v>
      </c>
    </row>
    <row r="9" spans="1:22" ht="38.25" x14ac:dyDescent="0.25">
      <c r="A9" s="4" t="s">
        <v>30</v>
      </c>
      <c r="B9" s="5" t="s">
        <v>31</v>
      </c>
      <c r="C9" s="15">
        <v>3000000</v>
      </c>
      <c r="D9" s="88"/>
      <c r="E9" s="84"/>
      <c r="F9" s="84"/>
      <c r="G9" s="85"/>
      <c r="H9" s="32">
        <f t="shared" ref="H9:H16" si="0">C9+D9-F9</f>
        <v>3000000</v>
      </c>
      <c r="I9" s="48">
        <v>682000</v>
      </c>
      <c r="J9" s="51">
        <v>469000</v>
      </c>
      <c r="K9" s="51">
        <v>299000</v>
      </c>
      <c r="L9" s="51">
        <v>101000</v>
      </c>
      <c r="M9" s="51">
        <v>119000</v>
      </c>
      <c r="N9" s="51">
        <v>42000</v>
      </c>
      <c r="O9" s="51">
        <v>133000</v>
      </c>
      <c r="P9" s="51">
        <v>231000</v>
      </c>
      <c r="Q9" s="17">
        <f>1155000/5</f>
        <v>231000</v>
      </c>
      <c r="R9" s="17">
        <f t="shared" ref="R9:T9" si="1">1155000/5</f>
        <v>231000</v>
      </c>
      <c r="S9" s="17">
        <f t="shared" si="1"/>
        <v>231000</v>
      </c>
      <c r="T9" s="17">
        <f t="shared" si="1"/>
        <v>231000</v>
      </c>
      <c r="U9" s="15">
        <f t="shared" ref="U9:U16" si="2">SUM(I9:T9)</f>
        <v>3000000</v>
      </c>
      <c r="V9" s="15">
        <f t="shared" ref="V9:V16" si="3">H9-U9</f>
        <v>0</v>
      </c>
    </row>
    <row r="10" spans="1:22" ht="25.5" x14ac:dyDescent="0.25">
      <c r="A10" s="4" t="s">
        <v>32</v>
      </c>
      <c r="B10" s="5" t="s">
        <v>33</v>
      </c>
      <c r="C10" s="15">
        <v>62000000</v>
      </c>
      <c r="D10" s="88">
        <v>26979426</v>
      </c>
      <c r="E10" s="84"/>
      <c r="F10" s="84"/>
      <c r="G10" s="85"/>
      <c r="H10" s="32">
        <f t="shared" si="0"/>
        <v>88979426</v>
      </c>
      <c r="I10" s="48"/>
      <c r="J10" s="51"/>
      <c r="K10" s="51"/>
      <c r="L10" s="51">
        <v>88979426</v>
      </c>
      <c r="M10" s="51"/>
      <c r="N10" s="51"/>
      <c r="O10" s="51"/>
      <c r="P10" s="51"/>
      <c r="Q10" s="17"/>
      <c r="R10" s="17"/>
      <c r="S10" s="17"/>
      <c r="T10" s="43"/>
      <c r="U10" s="15">
        <f t="shared" si="2"/>
        <v>88979426</v>
      </c>
      <c r="V10" s="15">
        <f t="shared" si="3"/>
        <v>0</v>
      </c>
    </row>
    <row r="11" spans="1:22" ht="25.5" x14ac:dyDescent="0.25">
      <c r="A11" s="4" t="s">
        <v>74</v>
      </c>
      <c r="B11" s="5" t="s">
        <v>75</v>
      </c>
      <c r="C11" s="15">
        <v>34000000</v>
      </c>
      <c r="D11" s="88"/>
      <c r="E11" s="84"/>
      <c r="F11" s="84">
        <v>1660000</v>
      </c>
      <c r="G11" s="85"/>
      <c r="H11" s="32">
        <f t="shared" si="0"/>
        <v>32340000</v>
      </c>
      <c r="I11" s="48"/>
      <c r="J11" s="51"/>
      <c r="K11" s="51"/>
      <c r="L11" s="51"/>
      <c r="M11" s="51">
        <v>32340000</v>
      </c>
      <c r="N11" s="51"/>
      <c r="O11" s="51"/>
      <c r="P11" s="51"/>
      <c r="Q11" s="17"/>
      <c r="R11" s="17"/>
      <c r="S11" s="17"/>
      <c r="T11" s="43"/>
      <c r="U11" s="15">
        <f t="shared" si="2"/>
        <v>32340000</v>
      </c>
      <c r="V11" s="15">
        <f t="shared" si="3"/>
        <v>0</v>
      </c>
    </row>
    <row r="12" spans="1:22" x14ac:dyDescent="0.25">
      <c r="A12" s="4" t="s">
        <v>34</v>
      </c>
      <c r="B12" s="5" t="s">
        <v>35</v>
      </c>
      <c r="C12" s="15">
        <v>100000</v>
      </c>
      <c r="D12" s="88"/>
      <c r="E12" s="84"/>
      <c r="F12" s="84"/>
      <c r="G12" s="85"/>
      <c r="H12" s="32">
        <f t="shared" si="0"/>
        <v>100000</v>
      </c>
      <c r="I12" s="48">
        <v>459</v>
      </c>
      <c r="J12" s="51">
        <v>413</v>
      </c>
      <c r="K12" s="51">
        <v>75.48</v>
      </c>
      <c r="L12" s="51">
        <v>401.4</v>
      </c>
      <c r="M12" s="51">
        <v>745.18</v>
      </c>
      <c r="N12" s="51">
        <v>700.53</v>
      </c>
      <c r="O12" s="51">
        <v>706.24</v>
      </c>
      <c r="P12" s="51">
        <v>668</v>
      </c>
      <c r="Q12" s="17">
        <f>95831/4</f>
        <v>23957.75</v>
      </c>
      <c r="R12" s="17">
        <f t="shared" ref="R12:T12" si="4">95831/4</f>
        <v>23957.75</v>
      </c>
      <c r="S12" s="17">
        <f t="shared" si="4"/>
        <v>23957.75</v>
      </c>
      <c r="T12" s="17">
        <f t="shared" si="4"/>
        <v>23957.75</v>
      </c>
      <c r="U12" s="15">
        <f t="shared" si="2"/>
        <v>99999.83</v>
      </c>
      <c r="V12" s="15">
        <f t="shared" si="3"/>
        <v>0.16999999999825377</v>
      </c>
    </row>
    <row r="13" spans="1:22" x14ac:dyDescent="0.25">
      <c r="A13" s="6" t="s">
        <v>36</v>
      </c>
      <c r="B13" s="7" t="s">
        <v>37</v>
      </c>
      <c r="C13" s="19">
        <v>1000</v>
      </c>
      <c r="D13" s="88">
        <v>4373645</v>
      </c>
      <c r="E13" s="84"/>
      <c r="F13" s="84"/>
      <c r="G13" s="85"/>
      <c r="H13" s="32">
        <f t="shared" si="0"/>
        <v>4374645</v>
      </c>
      <c r="I13" s="49"/>
      <c r="J13" s="52">
        <v>4373645</v>
      </c>
      <c r="K13" s="52"/>
      <c r="L13" s="52"/>
      <c r="M13" s="52"/>
      <c r="N13" s="52"/>
      <c r="O13" s="52"/>
      <c r="P13" s="52"/>
      <c r="Q13" s="21">
        <v>1000</v>
      </c>
      <c r="R13" s="21"/>
      <c r="S13" s="21"/>
      <c r="T13" s="46"/>
      <c r="U13" s="15">
        <f t="shared" si="2"/>
        <v>4374645</v>
      </c>
      <c r="V13" s="15">
        <f t="shared" si="3"/>
        <v>0</v>
      </c>
    </row>
    <row r="14" spans="1:22" x14ac:dyDescent="0.25">
      <c r="A14" s="6" t="s">
        <v>38</v>
      </c>
      <c r="B14" s="7" t="s">
        <v>39</v>
      </c>
      <c r="C14" s="19">
        <v>1000</v>
      </c>
      <c r="D14" s="88">
        <v>958084</v>
      </c>
      <c r="E14" s="84"/>
      <c r="F14" s="84"/>
      <c r="G14" s="85"/>
      <c r="H14" s="32">
        <f t="shared" si="0"/>
        <v>959084</v>
      </c>
      <c r="I14" s="49"/>
      <c r="J14" s="52">
        <v>958084</v>
      </c>
      <c r="K14" s="52"/>
      <c r="L14" s="52"/>
      <c r="M14" s="52"/>
      <c r="N14" s="52"/>
      <c r="O14" s="52"/>
      <c r="P14" s="52"/>
      <c r="Q14" s="21">
        <v>1000</v>
      </c>
      <c r="R14" s="21"/>
      <c r="S14" s="21"/>
      <c r="T14" s="46"/>
      <c r="U14" s="15">
        <f t="shared" si="2"/>
        <v>959084</v>
      </c>
      <c r="V14" s="15">
        <f t="shared" si="3"/>
        <v>0</v>
      </c>
    </row>
    <row r="15" spans="1:22" x14ac:dyDescent="0.25">
      <c r="A15" s="6" t="s">
        <v>40</v>
      </c>
      <c r="B15" s="7" t="s">
        <v>41</v>
      </c>
      <c r="C15" s="19">
        <v>1000</v>
      </c>
      <c r="D15" s="88">
        <v>6880372</v>
      </c>
      <c r="E15" s="84"/>
      <c r="F15" s="84"/>
      <c r="G15" s="85"/>
      <c r="H15" s="32">
        <f t="shared" si="0"/>
        <v>6881372</v>
      </c>
      <c r="I15" s="49"/>
      <c r="J15" s="52">
        <v>6880372</v>
      </c>
      <c r="K15" s="52"/>
      <c r="L15" s="52"/>
      <c r="M15" s="52"/>
      <c r="N15" s="52"/>
      <c r="O15" s="52"/>
      <c r="P15" s="52"/>
      <c r="Q15" s="21">
        <v>1000</v>
      </c>
      <c r="R15" s="21"/>
      <c r="S15" s="21"/>
      <c r="T15" s="46"/>
      <c r="U15" s="15">
        <f t="shared" si="2"/>
        <v>6881372</v>
      </c>
      <c r="V15" s="15">
        <f t="shared" si="3"/>
        <v>0</v>
      </c>
    </row>
    <row r="16" spans="1:22" ht="13.5" thickBot="1" x14ac:dyDescent="0.3">
      <c r="A16" s="6"/>
      <c r="B16" s="7"/>
      <c r="C16" s="19"/>
      <c r="D16" s="78"/>
      <c r="E16" s="79"/>
      <c r="F16" s="79"/>
      <c r="G16" s="86"/>
      <c r="H16" s="32">
        <f t="shared" si="0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45">
        <f t="shared" si="2"/>
        <v>0</v>
      </c>
      <c r="V16" s="15">
        <f t="shared" si="3"/>
        <v>0</v>
      </c>
    </row>
    <row r="17" spans="1:22" ht="13.5" thickBot="1" x14ac:dyDescent="0.3">
      <c r="A17" s="75" t="s">
        <v>26</v>
      </c>
      <c r="B17" s="76"/>
      <c r="C17" s="23">
        <f>SUM(C8:C16)</f>
        <v>103103000</v>
      </c>
      <c r="D17" s="80">
        <f>SUM(D8:E16)</f>
        <v>39191527</v>
      </c>
      <c r="E17" s="81"/>
      <c r="F17" s="80">
        <f>SUM(F8:G16)</f>
        <v>1660000</v>
      </c>
      <c r="G17" s="81"/>
      <c r="H17" s="23">
        <f t="shared" ref="H17:V17" si="5">SUM(H8:H16)</f>
        <v>140634527</v>
      </c>
      <c r="I17" s="37">
        <f t="shared" si="5"/>
        <v>682459</v>
      </c>
      <c r="J17" s="38">
        <f t="shared" si="5"/>
        <v>13561514</v>
      </c>
      <c r="K17" s="38">
        <f t="shared" si="5"/>
        <v>299075.48</v>
      </c>
      <c r="L17" s="38">
        <f t="shared" si="5"/>
        <v>89300827.400000006</v>
      </c>
      <c r="M17" s="38">
        <f t="shared" si="5"/>
        <v>33740745.18</v>
      </c>
      <c r="N17" s="38">
        <f t="shared" si="5"/>
        <v>1802700.53</v>
      </c>
      <c r="O17" s="38">
        <f t="shared" si="5"/>
        <v>133706.23999999999</v>
      </c>
      <c r="P17" s="38">
        <f t="shared" si="5"/>
        <v>561668</v>
      </c>
      <c r="Q17" s="38">
        <f t="shared" si="5"/>
        <v>257957.75</v>
      </c>
      <c r="R17" s="38">
        <f t="shared" si="5"/>
        <v>254957.75</v>
      </c>
      <c r="S17" s="38">
        <f t="shared" si="5"/>
        <v>254957.75</v>
      </c>
      <c r="T17" s="39">
        <f t="shared" si="5"/>
        <v>254957.75</v>
      </c>
      <c r="U17" s="23">
        <f t="shared" si="5"/>
        <v>141105526.82999998</v>
      </c>
      <c r="V17" s="23">
        <f t="shared" si="5"/>
        <v>-470999.83</v>
      </c>
    </row>
    <row r="19" spans="1:22" ht="13.5" thickBot="1" x14ac:dyDescent="0.3">
      <c r="A19" s="64" t="s">
        <v>23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x14ac:dyDescent="0.25">
      <c r="A20" s="73" t="s">
        <v>2</v>
      </c>
      <c r="B20" s="67" t="s">
        <v>3</v>
      </c>
      <c r="C20" s="60" t="s">
        <v>4</v>
      </c>
      <c r="D20" s="65" t="s">
        <v>5</v>
      </c>
      <c r="E20" s="69"/>
      <c r="F20" s="69"/>
      <c r="G20" s="70"/>
      <c r="H20" s="60" t="s">
        <v>8</v>
      </c>
      <c r="I20" s="73" t="s">
        <v>9</v>
      </c>
      <c r="J20" s="62" t="s">
        <v>10</v>
      </c>
      <c r="K20" s="62" t="s">
        <v>11</v>
      </c>
      <c r="L20" s="62" t="s">
        <v>12</v>
      </c>
      <c r="M20" s="62" t="s">
        <v>13</v>
      </c>
      <c r="N20" s="62" t="s">
        <v>14</v>
      </c>
      <c r="O20" s="62" t="s">
        <v>15</v>
      </c>
      <c r="P20" s="62" t="s">
        <v>16</v>
      </c>
      <c r="Q20" s="62" t="s">
        <v>17</v>
      </c>
      <c r="R20" s="62" t="s">
        <v>18</v>
      </c>
      <c r="S20" s="62" t="s">
        <v>19</v>
      </c>
      <c r="T20" s="67" t="s">
        <v>20</v>
      </c>
      <c r="U20" s="60" t="s">
        <v>21</v>
      </c>
      <c r="V20" s="60" t="s">
        <v>22</v>
      </c>
    </row>
    <row r="21" spans="1:22" ht="26.25" thickBot="1" x14ac:dyDescent="0.3">
      <c r="A21" s="89"/>
      <c r="B21" s="68"/>
      <c r="C21" s="61"/>
      <c r="D21" s="8" t="s">
        <v>6</v>
      </c>
      <c r="E21" s="9" t="s">
        <v>7</v>
      </c>
      <c r="F21" s="9" t="s">
        <v>24</v>
      </c>
      <c r="G21" s="10" t="s">
        <v>25</v>
      </c>
      <c r="H21" s="61"/>
      <c r="I21" s="7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7"/>
      <c r="U21" s="61"/>
      <c r="V21" s="61"/>
    </row>
    <row r="22" spans="1:22" ht="25.5" x14ac:dyDescent="0.25">
      <c r="A22" s="2" t="s">
        <v>77</v>
      </c>
      <c r="B22" s="3" t="s">
        <v>78</v>
      </c>
      <c r="C22" s="11">
        <v>9700000</v>
      </c>
      <c r="D22" s="12">
        <v>7000000</v>
      </c>
      <c r="E22" s="13"/>
      <c r="F22" s="13"/>
      <c r="G22" s="14">
        <v>8000000</v>
      </c>
      <c r="H22" s="27">
        <f>C22+D22-E22+F22-G22</f>
        <v>8700000</v>
      </c>
      <c r="I22" s="47"/>
      <c r="J22" s="50"/>
      <c r="K22" s="50"/>
      <c r="L22" s="50"/>
      <c r="M22" s="50"/>
      <c r="N22" s="50"/>
      <c r="O22" s="50"/>
      <c r="P22" s="50"/>
      <c r="Q22" s="29">
        <f>8700000/3</f>
        <v>2900000</v>
      </c>
      <c r="R22" s="29">
        <f t="shared" ref="R22:S22" si="6">8700000/3</f>
        <v>2900000</v>
      </c>
      <c r="S22" s="29">
        <f t="shared" si="6"/>
        <v>2900000</v>
      </c>
      <c r="T22" s="41"/>
      <c r="U22" s="42">
        <f>SUM(I22:T22)</f>
        <v>8700000</v>
      </c>
      <c r="V22" s="11">
        <f>H22-U22</f>
        <v>0</v>
      </c>
    </row>
    <row r="23" spans="1:22" ht="38.25" x14ac:dyDescent="0.25">
      <c r="A23" s="2" t="s">
        <v>42</v>
      </c>
      <c r="B23" s="3" t="s">
        <v>43</v>
      </c>
      <c r="C23" s="11">
        <v>4400000</v>
      </c>
      <c r="D23" s="12"/>
      <c r="E23" s="13"/>
      <c r="F23" s="13"/>
      <c r="G23" s="14"/>
      <c r="H23" s="27">
        <f t="shared" ref="H23:H43" si="7">C23+D23-E23+F23-G23</f>
        <v>4400000</v>
      </c>
      <c r="I23" s="48"/>
      <c r="J23" s="51"/>
      <c r="K23" s="51"/>
      <c r="L23" s="51"/>
      <c r="M23" s="51"/>
      <c r="N23" s="51"/>
      <c r="O23" s="51"/>
      <c r="P23" s="51"/>
      <c r="Q23" s="17">
        <f>4400000/3</f>
        <v>1466666.6666666667</v>
      </c>
      <c r="R23" s="17">
        <f t="shared" ref="R23:S23" si="8">4400000/3</f>
        <v>1466666.6666666667</v>
      </c>
      <c r="S23" s="17">
        <f t="shared" si="8"/>
        <v>1466666.6666666667</v>
      </c>
      <c r="T23" s="43"/>
      <c r="U23" s="11">
        <f t="shared" ref="U23:U43" si="9">SUM(I23:T23)</f>
        <v>4400000</v>
      </c>
      <c r="V23" s="11">
        <f t="shared" ref="V23:V43" si="10">H23-U23</f>
        <v>0</v>
      </c>
    </row>
    <row r="24" spans="1:22" ht="25.5" x14ac:dyDescent="0.25">
      <c r="A24" s="2" t="s">
        <v>44</v>
      </c>
      <c r="B24" s="3" t="s">
        <v>45</v>
      </c>
      <c r="C24" s="11">
        <v>14100000</v>
      </c>
      <c r="D24" s="12"/>
      <c r="E24" s="13"/>
      <c r="F24" s="13"/>
      <c r="G24" s="14"/>
      <c r="H24" s="27">
        <f t="shared" si="7"/>
        <v>14100000</v>
      </c>
      <c r="I24" s="48"/>
      <c r="J24" s="51"/>
      <c r="K24" s="51"/>
      <c r="L24" s="51"/>
      <c r="M24" s="51"/>
      <c r="N24" s="51"/>
      <c r="O24" s="51"/>
      <c r="P24" s="51"/>
      <c r="Q24" s="17">
        <f>14100000/3</f>
        <v>4700000</v>
      </c>
      <c r="R24" s="17">
        <f t="shared" ref="R24:S24" si="11">14100000/3</f>
        <v>4700000</v>
      </c>
      <c r="S24" s="17">
        <f t="shared" si="11"/>
        <v>4700000</v>
      </c>
      <c r="T24" s="43"/>
      <c r="U24" s="11">
        <f t="shared" si="9"/>
        <v>14100000</v>
      </c>
      <c r="V24" s="11">
        <f t="shared" si="10"/>
        <v>0</v>
      </c>
    </row>
    <row r="25" spans="1:22" ht="38.25" x14ac:dyDescent="0.25">
      <c r="A25" s="2" t="s">
        <v>46</v>
      </c>
      <c r="B25" s="3" t="s">
        <v>47</v>
      </c>
      <c r="C25" s="11">
        <v>1000</v>
      </c>
      <c r="D25" s="12"/>
      <c r="E25" s="13"/>
      <c r="F25" s="13"/>
      <c r="G25" s="14"/>
      <c r="H25" s="27">
        <f t="shared" si="7"/>
        <v>1000</v>
      </c>
      <c r="I25" s="48"/>
      <c r="J25" s="51"/>
      <c r="K25" s="51"/>
      <c r="L25" s="51"/>
      <c r="M25" s="51"/>
      <c r="N25" s="51"/>
      <c r="O25" s="51"/>
      <c r="P25" s="51"/>
      <c r="Q25" s="17">
        <f>1000/3</f>
        <v>333.33333333333331</v>
      </c>
      <c r="R25" s="17">
        <f t="shared" ref="R25:S25" si="12">1000/3</f>
        <v>333.33333333333331</v>
      </c>
      <c r="S25" s="17">
        <f t="shared" si="12"/>
        <v>333.33333333333331</v>
      </c>
      <c r="T25" s="43"/>
      <c r="U25" s="11">
        <f t="shared" si="9"/>
        <v>1000</v>
      </c>
      <c r="V25" s="11">
        <f t="shared" si="10"/>
        <v>0</v>
      </c>
    </row>
    <row r="26" spans="1:22" ht="25.5" x14ac:dyDescent="0.25">
      <c r="A26" s="2" t="s">
        <v>48</v>
      </c>
      <c r="B26" s="3" t="s">
        <v>49</v>
      </c>
      <c r="C26" s="11">
        <v>14200000</v>
      </c>
      <c r="D26" s="12">
        <v>10000000</v>
      </c>
      <c r="E26" s="13"/>
      <c r="F26" s="13"/>
      <c r="G26" s="14"/>
      <c r="H26" s="27">
        <f t="shared" si="7"/>
        <v>24200000</v>
      </c>
      <c r="I26" s="48"/>
      <c r="J26" s="51"/>
      <c r="K26" s="51"/>
      <c r="L26" s="51"/>
      <c r="M26" s="51"/>
      <c r="N26" s="51"/>
      <c r="O26" s="51"/>
      <c r="P26" s="51"/>
      <c r="Q26" s="17">
        <f>24200000/3</f>
        <v>8066666.666666667</v>
      </c>
      <c r="R26" s="17">
        <f t="shared" ref="R26:S26" si="13">24200000/3</f>
        <v>8066666.666666667</v>
      </c>
      <c r="S26" s="17">
        <f t="shared" si="13"/>
        <v>8066666.666666667</v>
      </c>
      <c r="T26" s="43"/>
      <c r="U26" s="11">
        <f t="shared" si="9"/>
        <v>24200000</v>
      </c>
      <c r="V26" s="11">
        <f t="shared" si="10"/>
        <v>0</v>
      </c>
    </row>
    <row r="27" spans="1:22" ht="25.5" x14ac:dyDescent="0.25">
      <c r="A27" s="2" t="s">
        <v>50</v>
      </c>
      <c r="B27" s="3" t="s">
        <v>51</v>
      </c>
      <c r="C27" s="11">
        <v>11600000</v>
      </c>
      <c r="D27" s="12"/>
      <c r="E27" s="13">
        <v>1660000</v>
      </c>
      <c r="F27" s="13"/>
      <c r="G27" s="14"/>
      <c r="H27" s="27">
        <f t="shared" si="7"/>
        <v>9940000</v>
      </c>
      <c r="I27" s="48"/>
      <c r="J27" s="51"/>
      <c r="K27" s="51"/>
      <c r="L27" s="51"/>
      <c r="M27" s="51"/>
      <c r="N27" s="51"/>
      <c r="O27" s="51"/>
      <c r="P27" s="51"/>
      <c r="Q27" s="17">
        <f>9940000/3</f>
        <v>3313333.3333333335</v>
      </c>
      <c r="R27" s="17">
        <f t="shared" ref="R27:S27" si="14">9940000/3</f>
        <v>3313333.3333333335</v>
      </c>
      <c r="S27" s="17">
        <f t="shared" si="14"/>
        <v>3313333.3333333335</v>
      </c>
      <c r="T27" s="43"/>
      <c r="U27" s="11">
        <f t="shared" si="9"/>
        <v>9940000</v>
      </c>
      <c r="V27" s="11">
        <f t="shared" si="10"/>
        <v>0</v>
      </c>
    </row>
    <row r="28" spans="1:22" ht="25.5" x14ac:dyDescent="0.25">
      <c r="A28" s="2" t="s">
        <v>70</v>
      </c>
      <c r="B28" s="3" t="s">
        <v>71</v>
      </c>
      <c r="C28" s="11">
        <v>0</v>
      </c>
      <c r="D28" s="12">
        <v>958084</v>
      </c>
      <c r="E28" s="13"/>
      <c r="F28" s="13"/>
      <c r="G28" s="14"/>
      <c r="H28" s="27">
        <f t="shared" si="7"/>
        <v>958084</v>
      </c>
      <c r="I28" s="48"/>
      <c r="J28" s="51"/>
      <c r="K28" s="51"/>
      <c r="L28" s="51"/>
      <c r="M28" s="51"/>
      <c r="N28" s="51"/>
      <c r="O28" s="51"/>
      <c r="P28" s="51"/>
      <c r="Q28" s="17">
        <f>958084/3</f>
        <v>319361.33333333331</v>
      </c>
      <c r="R28" s="17">
        <f t="shared" ref="R28:S28" si="15">958084/3</f>
        <v>319361.33333333331</v>
      </c>
      <c r="S28" s="17">
        <f t="shared" si="15"/>
        <v>319361.33333333331</v>
      </c>
      <c r="T28" s="43"/>
      <c r="U28" s="11">
        <f t="shared" si="9"/>
        <v>958084</v>
      </c>
      <c r="V28" s="11">
        <f t="shared" si="10"/>
        <v>0</v>
      </c>
    </row>
    <row r="29" spans="1:22" ht="25.5" x14ac:dyDescent="0.25">
      <c r="A29" s="2" t="s">
        <v>72</v>
      </c>
      <c r="B29" s="3" t="s">
        <v>73</v>
      </c>
      <c r="C29" s="11">
        <v>0</v>
      </c>
      <c r="D29" s="12">
        <v>6880372</v>
      </c>
      <c r="E29" s="13"/>
      <c r="F29" s="13"/>
      <c r="G29" s="14"/>
      <c r="H29" s="27">
        <f t="shared" si="7"/>
        <v>6880372</v>
      </c>
      <c r="I29" s="48"/>
      <c r="J29" s="51"/>
      <c r="K29" s="51"/>
      <c r="L29" s="51"/>
      <c r="M29" s="51"/>
      <c r="N29" s="51"/>
      <c r="O29" s="51"/>
      <c r="P29" s="51"/>
      <c r="Q29" s="17">
        <f>6880372/3</f>
        <v>2293457.3333333335</v>
      </c>
      <c r="R29" s="17">
        <f t="shared" ref="R29:S29" si="16">6880372/3</f>
        <v>2293457.3333333335</v>
      </c>
      <c r="S29" s="17">
        <f t="shared" si="16"/>
        <v>2293457.3333333335</v>
      </c>
      <c r="T29" s="43"/>
      <c r="U29" s="11">
        <f t="shared" si="9"/>
        <v>6880372</v>
      </c>
      <c r="V29" s="11">
        <f t="shared" si="10"/>
        <v>0</v>
      </c>
    </row>
    <row r="30" spans="1:22" ht="25.5" x14ac:dyDescent="0.25">
      <c r="A30" s="2" t="s">
        <v>52</v>
      </c>
      <c r="B30" s="3" t="s">
        <v>53</v>
      </c>
      <c r="C30" s="11">
        <v>1100000</v>
      </c>
      <c r="D30" s="12"/>
      <c r="E30" s="13"/>
      <c r="F30" s="13"/>
      <c r="G30" s="14"/>
      <c r="H30" s="27">
        <f t="shared" si="7"/>
        <v>1100000</v>
      </c>
      <c r="I30" s="48">
        <v>181380</v>
      </c>
      <c r="J30" s="51">
        <v>106291</v>
      </c>
      <c r="K30" s="51">
        <v>91273</v>
      </c>
      <c r="L30" s="51">
        <v>91273</v>
      </c>
      <c r="M30" s="51">
        <v>91273</v>
      </c>
      <c r="N30" s="51">
        <v>91273</v>
      </c>
      <c r="O30" s="51">
        <v>91273</v>
      </c>
      <c r="P30" s="51">
        <v>91273</v>
      </c>
      <c r="Q30" s="17">
        <f>264691/4</f>
        <v>66172.75</v>
      </c>
      <c r="R30" s="17">
        <f t="shared" ref="R30:T30" si="17">264691/4</f>
        <v>66172.75</v>
      </c>
      <c r="S30" s="17">
        <f t="shared" si="17"/>
        <v>66172.75</v>
      </c>
      <c r="T30" s="17">
        <f t="shared" si="17"/>
        <v>66172.75</v>
      </c>
      <c r="U30" s="11">
        <f t="shared" si="9"/>
        <v>1100000</v>
      </c>
      <c r="V30" s="11">
        <f t="shared" si="10"/>
        <v>0</v>
      </c>
    </row>
    <row r="31" spans="1:22" ht="25.5" x14ac:dyDescent="0.25">
      <c r="A31" s="2" t="s">
        <v>68</v>
      </c>
      <c r="B31" s="3" t="s">
        <v>69</v>
      </c>
      <c r="C31" s="11">
        <v>0</v>
      </c>
      <c r="D31" s="12">
        <v>1373645</v>
      </c>
      <c r="E31" s="13"/>
      <c r="F31" s="13"/>
      <c r="G31" s="14"/>
      <c r="H31" s="27">
        <f t="shared" si="7"/>
        <v>1373645</v>
      </c>
      <c r="I31" s="48"/>
      <c r="J31" s="51"/>
      <c r="K31" s="51"/>
      <c r="L31" s="51"/>
      <c r="M31" s="51"/>
      <c r="N31" s="51"/>
      <c r="O31" s="51"/>
      <c r="P31" s="51"/>
      <c r="Q31" s="17">
        <f>1373645/4</f>
        <v>343411.25</v>
      </c>
      <c r="R31" s="17">
        <f t="shared" ref="R31:T31" si="18">1373645/4</f>
        <v>343411.25</v>
      </c>
      <c r="S31" s="17">
        <f t="shared" si="18"/>
        <v>343411.25</v>
      </c>
      <c r="T31" s="17">
        <f t="shared" si="18"/>
        <v>343411.25</v>
      </c>
      <c r="U31" s="11">
        <f t="shared" si="9"/>
        <v>1373645</v>
      </c>
      <c r="V31" s="11">
        <f t="shared" si="10"/>
        <v>0</v>
      </c>
    </row>
    <row r="32" spans="1:22" ht="25.5" x14ac:dyDescent="0.25">
      <c r="A32" s="2" t="s">
        <v>54</v>
      </c>
      <c r="B32" s="3" t="s">
        <v>55</v>
      </c>
      <c r="C32" s="11">
        <v>5000000</v>
      </c>
      <c r="D32" s="12">
        <v>2000000</v>
      </c>
      <c r="E32" s="13"/>
      <c r="F32" s="13"/>
      <c r="G32" s="14"/>
      <c r="H32" s="27">
        <f t="shared" si="7"/>
        <v>7000000</v>
      </c>
      <c r="I32" s="48"/>
      <c r="J32" s="51"/>
      <c r="K32" s="51"/>
      <c r="L32" s="51"/>
      <c r="M32" s="51"/>
      <c r="N32" s="51"/>
      <c r="O32" s="51"/>
      <c r="P32" s="51">
        <v>4409200</v>
      </c>
      <c r="Q32" s="17">
        <f>2590800/3</f>
        <v>863600</v>
      </c>
      <c r="R32" s="17">
        <f t="shared" ref="R32:S32" si="19">2590800/3</f>
        <v>863600</v>
      </c>
      <c r="S32" s="17">
        <f t="shared" si="19"/>
        <v>863600</v>
      </c>
      <c r="T32" s="43"/>
      <c r="U32" s="11">
        <f t="shared" si="9"/>
        <v>7000000</v>
      </c>
      <c r="V32" s="11">
        <f t="shared" si="10"/>
        <v>0</v>
      </c>
    </row>
    <row r="33" spans="1:22" ht="25.5" x14ac:dyDescent="0.25">
      <c r="A33" s="2" t="s">
        <v>56</v>
      </c>
      <c r="B33" s="3" t="s">
        <v>57</v>
      </c>
      <c r="C33" s="11">
        <v>24000000</v>
      </c>
      <c r="D33" s="12"/>
      <c r="E33" s="13"/>
      <c r="F33" s="13"/>
      <c r="G33" s="14"/>
      <c r="H33" s="27">
        <f t="shared" si="7"/>
        <v>24000000</v>
      </c>
      <c r="I33" s="48"/>
      <c r="J33" s="51"/>
      <c r="K33" s="51"/>
      <c r="L33" s="51">
        <v>7200000</v>
      </c>
      <c r="M33" s="51">
        <v>1200000</v>
      </c>
      <c r="N33" s="51">
        <v>3600000</v>
      </c>
      <c r="O33" s="51"/>
      <c r="P33" s="51">
        <v>4800000</v>
      </c>
      <c r="Q33" s="17">
        <f>7200000/3</f>
        <v>2400000</v>
      </c>
      <c r="R33" s="17">
        <f t="shared" ref="R33:S33" si="20">7200000/3</f>
        <v>2400000</v>
      </c>
      <c r="S33" s="17">
        <f t="shared" si="20"/>
        <v>2400000</v>
      </c>
      <c r="T33" s="43"/>
      <c r="U33" s="11">
        <f t="shared" si="9"/>
        <v>24000000</v>
      </c>
      <c r="V33" s="11">
        <f t="shared" si="10"/>
        <v>0</v>
      </c>
    </row>
    <row r="34" spans="1:22" ht="25.5" x14ac:dyDescent="0.25">
      <c r="A34" s="2" t="s">
        <v>58</v>
      </c>
      <c r="B34" s="3" t="s">
        <v>59</v>
      </c>
      <c r="C34" s="11">
        <v>4300000</v>
      </c>
      <c r="D34" s="12"/>
      <c r="E34" s="13"/>
      <c r="F34" s="13"/>
      <c r="G34" s="14"/>
      <c r="H34" s="27">
        <f t="shared" si="7"/>
        <v>4300000</v>
      </c>
      <c r="I34" s="48"/>
      <c r="J34" s="51"/>
      <c r="K34" s="51"/>
      <c r="L34" s="51"/>
      <c r="M34" s="51"/>
      <c r="N34" s="51"/>
      <c r="O34" s="51"/>
      <c r="P34" s="51"/>
      <c r="Q34" s="17">
        <f>4300000/3</f>
        <v>1433333.3333333333</v>
      </c>
      <c r="R34" s="17">
        <f t="shared" ref="R34:S34" si="21">4300000/3</f>
        <v>1433333.3333333333</v>
      </c>
      <c r="S34" s="17">
        <f t="shared" si="21"/>
        <v>1433333.3333333333</v>
      </c>
      <c r="T34" s="43"/>
      <c r="U34" s="11">
        <f t="shared" si="9"/>
        <v>4300000</v>
      </c>
      <c r="V34" s="11">
        <f t="shared" si="10"/>
        <v>0</v>
      </c>
    </row>
    <row r="35" spans="1:22" ht="25.5" x14ac:dyDescent="0.25">
      <c r="A35" s="2" t="s">
        <v>79</v>
      </c>
      <c r="B35" s="3" t="s">
        <v>80</v>
      </c>
      <c r="C35" s="11">
        <v>3200000</v>
      </c>
      <c r="D35" s="12"/>
      <c r="E35" s="13"/>
      <c r="F35" s="13"/>
      <c r="G35" s="14"/>
      <c r="H35" s="27">
        <f t="shared" si="7"/>
        <v>3200000</v>
      </c>
      <c r="I35" s="48"/>
      <c r="J35" s="51"/>
      <c r="K35" s="51"/>
      <c r="L35" s="51"/>
      <c r="M35" s="51"/>
      <c r="N35" s="51"/>
      <c r="O35" s="51"/>
      <c r="P35" s="51"/>
      <c r="Q35" s="17">
        <f>3200000/3</f>
        <v>1066666.6666666667</v>
      </c>
      <c r="R35" s="17">
        <f t="shared" ref="R35:S35" si="22">3200000/3</f>
        <v>1066666.6666666667</v>
      </c>
      <c r="S35" s="17">
        <f t="shared" si="22"/>
        <v>1066666.6666666667</v>
      </c>
      <c r="T35" s="43"/>
      <c r="U35" s="11">
        <f t="shared" si="9"/>
        <v>3200000</v>
      </c>
      <c r="V35" s="11">
        <f t="shared" si="10"/>
        <v>0</v>
      </c>
    </row>
    <row r="36" spans="1:22" ht="25.5" x14ac:dyDescent="0.25">
      <c r="A36" s="2" t="s">
        <v>88</v>
      </c>
      <c r="B36" s="3" t="s">
        <v>87</v>
      </c>
      <c r="C36" s="11">
        <v>0</v>
      </c>
      <c r="D36" s="12">
        <v>7979426</v>
      </c>
      <c r="E36" s="13"/>
      <c r="F36" s="13"/>
      <c r="G36" s="14"/>
      <c r="H36" s="27">
        <f t="shared" si="7"/>
        <v>7979426</v>
      </c>
      <c r="I36" s="48"/>
      <c r="J36" s="51"/>
      <c r="K36" s="51"/>
      <c r="L36" s="51"/>
      <c r="M36" s="51"/>
      <c r="N36" s="51">
        <v>1354000</v>
      </c>
      <c r="O36" s="51"/>
      <c r="P36" s="51"/>
      <c r="Q36" s="17">
        <f>6625426/3</f>
        <v>2208475.3333333335</v>
      </c>
      <c r="R36" s="17">
        <f t="shared" ref="R36:S36" si="23">6625426/3</f>
        <v>2208475.3333333335</v>
      </c>
      <c r="S36" s="17">
        <f t="shared" si="23"/>
        <v>2208475.3333333335</v>
      </c>
      <c r="T36" s="43"/>
      <c r="U36" s="11">
        <f t="shared" si="9"/>
        <v>7979426</v>
      </c>
      <c r="V36" s="11">
        <f t="shared" si="10"/>
        <v>0</v>
      </c>
    </row>
    <row r="37" spans="1:22" ht="25.5" x14ac:dyDescent="0.25">
      <c r="A37" s="2" t="s">
        <v>81</v>
      </c>
      <c r="B37" s="3" t="s">
        <v>82</v>
      </c>
      <c r="C37" s="11">
        <v>4000000</v>
      </c>
      <c r="D37" s="12"/>
      <c r="E37" s="13"/>
      <c r="F37" s="13">
        <v>8000000</v>
      </c>
      <c r="G37" s="14"/>
      <c r="H37" s="27">
        <f t="shared" si="7"/>
        <v>12000000</v>
      </c>
      <c r="I37" s="48"/>
      <c r="J37" s="51"/>
      <c r="K37" s="51"/>
      <c r="L37" s="51"/>
      <c r="M37" s="51"/>
      <c r="N37" s="51"/>
      <c r="O37" s="51"/>
      <c r="P37" s="51">
        <v>7905000</v>
      </c>
      <c r="Q37" s="17">
        <f>4095000/3</f>
        <v>1365000</v>
      </c>
      <c r="R37" s="17">
        <f t="shared" ref="R37:S37" si="24">4095000/3</f>
        <v>1365000</v>
      </c>
      <c r="S37" s="17">
        <f t="shared" si="24"/>
        <v>1365000</v>
      </c>
      <c r="T37" s="43"/>
      <c r="U37" s="11">
        <f t="shared" si="9"/>
        <v>12000000</v>
      </c>
      <c r="V37" s="11">
        <f t="shared" si="10"/>
        <v>0</v>
      </c>
    </row>
    <row r="38" spans="1:22" ht="25.5" x14ac:dyDescent="0.25">
      <c r="A38" s="2" t="s">
        <v>83</v>
      </c>
      <c r="B38" s="3" t="s">
        <v>84</v>
      </c>
      <c r="C38" s="11">
        <v>100000</v>
      </c>
      <c r="D38" s="12"/>
      <c r="E38" s="13"/>
      <c r="F38" s="13"/>
      <c r="G38" s="14"/>
      <c r="H38" s="27">
        <f t="shared" si="7"/>
        <v>100000</v>
      </c>
      <c r="I38" s="48"/>
      <c r="J38" s="51"/>
      <c r="K38" s="51"/>
      <c r="L38" s="51"/>
      <c r="M38" s="51"/>
      <c r="N38" s="51"/>
      <c r="O38" s="51"/>
      <c r="P38" s="51"/>
      <c r="Q38" s="17">
        <f>100000/3</f>
        <v>33333.333333333336</v>
      </c>
      <c r="R38" s="17">
        <f t="shared" ref="R38:S38" si="25">100000/3</f>
        <v>33333.333333333336</v>
      </c>
      <c r="S38" s="17">
        <f t="shared" si="25"/>
        <v>33333.333333333336</v>
      </c>
      <c r="T38" s="43"/>
      <c r="U38" s="11">
        <f t="shared" si="9"/>
        <v>100000</v>
      </c>
      <c r="V38" s="11">
        <f t="shared" si="10"/>
        <v>0</v>
      </c>
    </row>
    <row r="39" spans="1:22" ht="25.5" x14ac:dyDescent="0.25">
      <c r="A39" s="2" t="s">
        <v>60</v>
      </c>
      <c r="B39" s="3" t="s">
        <v>61</v>
      </c>
      <c r="C39" s="11">
        <v>2700000</v>
      </c>
      <c r="D39" s="12"/>
      <c r="E39" s="13"/>
      <c r="F39" s="13"/>
      <c r="G39" s="14"/>
      <c r="H39" s="27">
        <f t="shared" si="7"/>
        <v>2700000</v>
      </c>
      <c r="I39" s="48"/>
      <c r="J39" s="51"/>
      <c r="K39" s="51"/>
      <c r="L39" s="51"/>
      <c r="M39" s="51"/>
      <c r="N39" s="51"/>
      <c r="O39" s="51"/>
      <c r="P39" s="51"/>
      <c r="Q39" s="17">
        <f>2700000/3</f>
        <v>900000</v>
      </c>
      <c r="R39" s="17">
        <f t="shared" ref="R39:S39" si="26">2700000/3</f>
        <v>900000</v>
      </c>
      <c r="S39" s="17">
        <f t="shared" si="26"/>
        <v>900000</v>
      </c>
      <c r="T39" s="43"/>
      <c r="U39" s="11">
        <f t="shared" si="9"/>
        <v>2700000</v>
      </c>
      <c r="V39" s="11">
        <f t="shared" si="10"/>
        <v>0</v>
      </c>
    </row>
    <row r="40" spans="1:22" ht="25.5" x14ac:dyDescent="0.25">
      <c r="A40" s="2" t="s">
        <v>62</v>
      </c>
      <c r="B40" s="3" t="s">
        <v>63</v>
      </c>
      <c r="C40" s="11">
        <v>4700000</v>
      </c>
      <c r="D40" s="12"/>
      <c r="E40" s="13"/>
      <c r="F40" s="13"/>
      <c r="G40" s="14"/>
      <c r="H40" s="27">
        <f t="shared" si="7"/>
        <v>4700000</v>
      </c>
      <c r="I40" s="48">
        <v>325766</v>
      </c>
      <c r="J40" s="51">
        <v>289469</v>
      </c>
      <c r="K40" s="51"/>
      <c r="L40" s="51"/>
      <c r="M40" s="51"/>
      <c r="N40" s="51"/>
      <c r="O40" s="51"/>
      <c r="P40" s="51"/>
      <c r="Q40" s="17">
        <f>4084765/4</f>
        <v>1021191.25</v>
      </c>
      <c r="R40" s="17">
        <f t="shared" ref="R40:T40" si="27">4084765/4</f>
        <v>1021191.25</v>
      </c>
      <c r="S40" s="17">
        <f t="shared" si="27"/>
        <v>1021191.25</v>
      </c>
      <c r="T40" s="17">
        <f t="shared" si="27"/>
        <v>1021191.25</v>
      </c>
      <c r="U40" s="11">
        <f t="shared" si="9"/>
        <v>4700000</v>
      </c>
      <c r="V40" s="11">
        <f t="shared" si="10"/>
        <v>0</v>
      </c>
    </row>
    <row r="41" spans="1:22" ht="25.5" x14ac:dyDescent="0.25">
      <c r="A41" s="2" t="s">
        <v>85</v>
      </c>
      <c r="B41" s="3" t="s">
        <v>86</v>
      </c>
      <c r="C41" s="11">
        <v>0</v>
      </c>
      <c r="D41" s="12">
        <v>3000000</v>
      </c>
      <c r="E41" s="13"/>
      <c r="F41" s="13"/>
      <c r="G41" s="14"/>
      <c r="H41" s="27">
        <f t="shared" si="7"/>
        <v>3000000</v>
      </c>
      <c r="I41" s="48"/>
      <c r="J41" s="51">
        <v>79597</v>
      </c>
      <c r="K41" s="51">
        <v>278851</v>
      </c>
      <c r="L41" s="51">
        <v>475275</v>
      </c>
      <c r="M41" s="51">
        <v>388381</v>
      </c>
      <c r="N41" s="51">
        <v>387958</v>
      </c>
      <c r="O41" s="51">
        <v>387958</v>
      </c>
      <c r="P41" s="51">
        <v>395244</v>
      </c>
      <c r="Q41" s="17">
        <f>606736/4</f>
        <v>151684</v>
      </c>
      <c r="R41" s="17">
        <f t="shared" ref="R41:T41" si="28">606736/4</f>
        <v>151684</v>
      </c>
      <c r="S41" s="17">
        <f t="shared" si="28"/>
        <v>151684</v>
      </c>
      <c r="T41" s="17">
        <f t="shared" si="28"/>
        <v>151684</v>
      </c>
      <c r="U41" s="11">
        <f t="shared" si="9"/>
        <v>3000000</v>
      </c>
      <c r="V41" s="11">
        <f t="shared" si="10"/>
        <v>0</v>
      </c>
    </row>
    <row r="42" spans="1:22" ht="25.5" x14ac:dyDescent="0.25">
      <c r="A42" s="2" t="s">
        <v>64</v>
      </c>
      <c r="B42" s="3" t="s">
        <v>65</v>
      </c>
      <c r="C42" s="11">
        <v>1000</v>
      </c>
      <c r="D42" s="12"/>
      <c r="E42" s="13"/>
      <c r="F42" s="13"/>
      <c r="G42" s="14"/>
      <c r="H42" s="27">
        <f t="shared" si="7"/>
        <v>1000</v>
      </c>
      <c r="I42" s="48"/>
      <c r="J42" s="51"/>
      <c r="K42" s="51"/>
      <c r="L42" s="51"/>
      <c r="M42" s="51"/>
      <c r="N42" s="51"/>
      <c r="O42" s="51"/>
      <c r="P42" s="51"/>
      <c r="Q42" s="17">
        <f>1000/4</f>
        <v>250</v>
      </c>
      <c r="R42" s="17">
        <f t="shared" ref="R42:T43" si="29">1000/4</f>
        <v>250</v>
      </c>
      <c r="S42" s="17">
        <f t="shared" si="29"/>
        <v>250</v>
      </c>
      <c r="T42" s="17">
        <f t="shared" si="29"/>
        <v>250</v>
      </c>
      <c r="U42" s="11">
        <f t="shared" si="9"/>
        <v>1000</v>
      </c>
      <c r="V42" s="11">
        <f t="shared" si="10"/>
        <v>0</v>
      </c>
    </row>
    <row r="43" spans="1:22" ht="25.5" x14ac:dyDescent="0.25">
      <c r="A43" s="2" t="s">
        <v>66</v>
      </c>
      <c r="B43" s="3" t="s">
        <v>67</v>
      </c>
      <c r="C43" s="11">
        <v>1000</v>
      </c>
      <c r="D43" s="12"/>
      <c r="E43" s="13"/>
      <c r="F43" s="13"/>
      <c r="G43" s="14"/>
      <c r="H43" s="27">
        <f t="shared" si="7"/>
        <v>1000</v>
      </c>
      <c r="I43" s="48"/>
      <c r="J43" s="51"/>
      <c r="K43" s="51"/>
      <c r="L43" s="51"/>
      <c r="M43" s="51"/>
      <c r="N43" s="51"/>
      <c r="O43" s="51"/>
      <c r="P43" s="51"/>
      <c r="Q43" s="17">
        <f t="shared" ref="Q43" si="30">1000/4</f>
        <v>250</v>
      </c>
      <c r="R43" s="17">
        <f t="shared" si="29"/>
        <v>250</v>
      </c>
      <c r="S43" s="17">
        <f t="shared" si="29"/>
        <v>250</v>
      </c>
      <c r="T43" s="17">
        <f t="shared" si="29"/>
        <v>250</v>
      </c>
      <c r="U43" s="11">
        <f t="shared" si="9"/>
        <v>1000</v>
      </c>
      <c r="V43" s="11">
        <f t="shared" si="10"/>
        <v>0</v>
      </c>
    </row>
    <row r="44" spans="1:22" ht="13.5" thickBot="1" x14ac:dyDescent="0.3">
      <c r="A44" s="6"/>
      <c r="B44" s="7"/>
      <c r="C44" s="19"/>
      <c r="D44" s="20"/>
      <c r="E44" s="21"/>
      <c r="F44" s="21"/>
      <c r="G44" s="22"/>
      <c r="H44" s="40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19"/>
    </row>
    <row r="45" spans="1:22" ht="13.5" thickBot="1" x14ac:dyDescent="0.3">
      <c r="A45" s="75" t="s">
        <v>26</v>
      </c>
      <c r="B45" s="76"/>
      <c r="C45" s="23">
        <f t="shared" ref="C45:V45" si="31">SUM(C22:C44)</f>
        <v>103103000</v>
      </c>
      <c r="D45" s="24">
        <f t="shared" si="31"/>
        <v>39191527</v>
      </c>
      <c r="E45" s="25">
        <f t="shared" si="31"/>
        <v>1660000</v>
      </c>
      <c r="F45" s="25">
        <f t="shared" si="31"/>
        <v>8000000</v>
      </c>
      <c r="G45" s="26">
        <f t="shared" si="31"/>
        <v>8000000</v>
      </c>
      <c r="H45" s="23">
        <f>SUM(H22:H44)</f>
        <v>140634527</v>
      </c>
      <c r="I45" s="37">
        <f t="shared" si="31"/>
        <v>507146</v>
      </c>
      <c r="J45" s="38">
        <f t="shared" si="31"/>
        <v>475357</v>
      </c>
      <c r="K45" s="38">
        <f t="shared" si="31"/>
        <v>370124</v>
      </c>
      <c r="L45" s="38">
        <f t="shared" si="31"/>
        <v>7766548</v>
      </c>
      <c r="M45" s="38">
        <f t="shared" si="31"/>
        <v>1679654</v>
      </c>
      <c r="N45" s="38">
        <f t="shared" si="31"/>
        <v>5433231</v>
      </c>
      <c r="O45" s="38">
        <f t="shared" si="31"/>
        <v>479231</v>
      </c>
      <c r="P45" s="38">
        <f t="shared" si="31"/>
        <v>17600717</v>
      </c>
      <c r="Q45" s="38">
        <f t="shared" si="31"/>
        <v>34913186.583333328</v>
      </c>
      <c r="R45" s="38">
        <f t="shared" si="31"/>
        <v>34913186.583333328</v>
      </c>
      <c r="S45" s="38">
        <f t="shared" si="31"/>
        <v>34913186.583333328</v>
      </c>
      <c r="T45" s="39">
        <f t="shared" si="31"/>
        <v>1582959.25</v>
      </c>
      <c r="U45" s="23">
        <f t="shared" si="31"/>
        <v>140634527</v>
      </c>
      <c r="V45" s="23">
        <f t="shared" si="31"/>
        <v>0</v>
      </c>
    </row>
  </sheetData>
  <mergeCells count="67">
    <mergeCell ref="V20:V21"/>
    <mergeCell ref="A45:B45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4" orientation="landscape" r:id="rId1"/>
  <headerFooter>
    <oddFooter>&amp;L&amp;F&amp;C&amp;A&amp;R&amp;P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original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 PRINCESA Ma. ESPERANZA HARTMANN GARZON</cp:lastModifiedBy>
  <cp:lastPrinted>2025-02-06T21:47:46Z</cp:lastPrinted>
  <dcterms:created xsi:type="dcterms:W3CDTF">2016-06-15T16:48:09Z</dcterms:created>
  <dcterms:modified xsi:type="dcterms:W3CDTF">2025-03-15T05:02:12Z</dcterms:modified>
</cp:coreProperties>
</file>