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7755" firstSheet="2" activeTab="12"/>
  </bookViews>
  <sheets>
    <sheet name="original" sheetId="1" r:id="rId1"/>
    <sheet name="enero" sheetId="55" r:id="rId2"/>
    <sheet name="febrero" sheetId="56" r:id="rId3"/>
    <sheet name="marzo" sheetId="57" r:id="rId4"/>
    <sheet name="abril" sheetId="58" r:id="rId5"/>
    <sheet name="mayo" sheetId="59" r:id="rId6"/>
    <sheet name="junio" sheetId="60" r:id="rId7"/>
    <sheet name="Julio" sheetId="61" r:id="rId8"/>
    <sheet name="Agosto" sheetId="62" r:id="rId9"/>
    <sheet name="Septiembre" sheetId="63" r:id="rId10"/>
    <sheet name="octubre" sheetId="64" r:id="rId11"/>
    <sheet name="noviembre" sheetId="65" r:id="rId12"/>
    <sheet name="diciembre" sheetId="66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0" i="66" l="1"/>
  <c r="S50" i="66"/>
  <c r="R50" i="66"/>
  <c r="Q50" i="66"/>
  <c r="P50" i="66"/>
  <c r="O50" i="66"/>
  <c r="N50" i="66"/>
  <c r="M50" i="66"/>
  <c r="L50" i="66"/>
  <c r="K50" i="66"/>
  <c r="J50" i="66"/>
  <c r="I50" i="66"/>
  <c r="G50" i="66"/>
  <c r="F50" i="66"/>
  <c r="E50" i="66"/>
  <c r="D50" i="66"/>
  <c r="C50" i="66"/>
  <c r="U48" i="66"/>
  <c r="H48" i="66"/>
  <c r="V48" i="66" s="1"/>
  <c r="U47" i="66"/>
  <c r="H47" i="66"/>
  <c r="V47" i="66" s="1"/>
  <c r="U46" i="66"/>
  <c r="H46" i="66"/>
  <c r="V46" i="66" s="1"/>
  <c r="U45" i="66"/>
  <c r="H45" i="66"/>
  <c r="V45" i="66" s="1"/>
  <c r="U44" i="66"/>
  <c r="H44" i="66"/>
  <c r="V44" i="66" s="1"/>
  <c r="U43" i="66"/>
  <c r="H43" i="66"/>
  <c r="V43" i="66" s="1"/>
  <c r="U42" i="66"/>
  <c r="H42" i="66"/>
  <c r="V42" i="66" s="1"/>
  <c r="U41" i="66"/>
  <c r="H41" i="66"/>
  <c r="V41" i="66" s="1"/>
  <c r="U40" i="66"/>
  <c r="H40" i="66"/>
  <c r="V40" i="66" s="1"/>
  <c r="U39" i="66"/>
  <c r="H39" i="66"/>
  <c r="V39" i="66" s="1"/>
  <c r="U38" i="66"/>
  <c r="H38" i="66"/>
  <c r="V38" i="66" s="1"/>
  <c r="U37" i="66"/>
  <c r="H37" i="66"/>
  <c r="V37" i="66" s="1"/>
  <c r="U36" i="66"/>
  <c r="H36" i="66"/>
  <c r="V36" i="66" s="1"/>
  <c r="U35" i="66"/>
  <c r="H35" i="66"/>
  <c r="V35" i="66" s="1"/>
  <c r="U34" i="66"/>
  <c r="H34" i="66"/>
  <c r="V34" i="66" s="1"/>
  <c r="U33" i="66"/>
  <c r="H33" i="66"/>
  <c r="V33" i="66" s="1"/>
  <c r="U32" i="66"/>
  <c r="H32" i="66"/>
  <c r="V32" i="66" s="1"/>
  <c r="U31" i="66"/>
  <c r="H31" i="66"/>
  <c r="V31" i="66" s="1"/>
  <c r="U30" i="66"/>
  <c r="H30" i="66"/>
  <c r="V30" i="66" s="1"/>
  <c r="U29" i="66"/>
  <c r="H29" i="66"/>
  <c r="V29" i="66" s="1"/>
  <c r="U28" i="66"/>
  <c r="H28" i="66"/>
  <c r="V28" i="66" s="1"/>
  <c r="U27" i="66"/>
  <c r="H27" i="66"/>
  <c r="V27" i="66" s="1"/>
  <c r="U26" i="66"/>
  <c r="H26" i="66"/>
  <c r="V26" i="66" s="1"/>
  <c r="U25" i="66"/>
  <c r="H25" i="66"/>
  <c r="V25" i="66" s="1"/>
  <c r="U24" i="66"/>
  <c r="U50" i="66" s="1"/>
  <c r="H24" i="66"/>
  <c r="H50" i="66" s="1"/>
  <c r="T19" i="66"/>
  <c r="S19" i="66"/>
  <c r="R19" i="66"/>
  <c r="Q19" i="66"/>
  <c r="P19" i="66"/>
  <c r="O19" i="66"/>
  <c r="N19" i="66"/>
  <c r="M19" i="66"/>
  <c r="L19" i="66"/>
  <c r="K19" i="66"/>
  <c r="J19" i="66"/>
  <c r="I19" i="66"/>
  <c r="F19" i="66"/>
  <c r="D19" i="66"/>
  <c r="C19" i="66"/>
  <c r="U18" i="66"/>
  <c r="H18" i="66"/>
  <c r="U17" i="66"/>
  <c r="H17" i="66"/>
  <c r="U16" i="66"/>
  <c r="H16" i="66"/>
  <c r="U15" i="66"/>
  <c r="H15" i="66"/>
  <c r="U14" i="66"/>
  <c r="H14" i="66"/>
  <c r="U13" i="66"/>
  <c r="H13" i="66"/>
  <c r="U12" i="66"/>
  <c r="H12" i="66"/>
  <c r="V12" i="66" s="1"/>
  <c r="U11" i="66"/>
  <c r="H11" i="66"/>
  <c r="V11" i="66" s="1"/>
  <c r="U10" i="66"/>
  <c r="H10" i="66"/>
  <c r="V10" i="66" s="1"/>
  <c r="U9" i="66"/>
  <c r="H9" i="66"/>
  <c r="U8" i="66"/>
  <c r="U19" i="66" s="1"/>
  <c r="H8" i="66"/>
  <c r="H19" i="66" s="1"/>
  <c r="U27" i="65"/>
  <c r="V27" i="65" s="1"/>
  <c r="H27" i="65"/>
  <c r="R50" i="65"/>
  <c r="Q50" i="65"/>
  <c r="P50" i="65"/>
  <c r="O50" i="65"/>
  <c r="N50" i="65"/>
  <c r="M50" i="65"/>
  <c r="L50" i="65"/>
  <c r="K50" i="65"/>
  <c r="J50" i="65"/>
  <c r="I50" i="65"/>
  <c r="G50" i="65"/>
  <c r="F50" i="65"/>
  <c r="E50" i="65"/>
  <c r="D50" i="65"/>
  <c r="C50" i="65"/>
  <c r="U48" i="65"/>
  <c r="H48" i="65"/>
  <c r="U47" i="65"/>
  <c r="H47" i="65"/>
  <c r="U46" i="65"/>
  <c r="H46" i="65"/>
  <c r="U45" i="65"/>
  <c r="H45" i="65"/>
  <c r="U44" i="65"/>
  <c r="H44" i="65"/>
  <c r="U43" i="65"/>
  <c r="H43" i="65"/>
  <c r="U42" i="65"/>
  <c r="H42" i="65"/>
  <c r="U41" i="65"/>
  <c r="H41" i="65"/>
  <c r="U40" i="65"/>
  <c r="H40" i="65"/>
  <c r="U39" i="65"/>
  <c r="H39" i="65"/>
  <c r="U38" i="65"/>
  <c r="H38" i="65"/>
  <c r="U37" i="65"/>
  <c r="H37" i="65"/>
  <c r="U36" i="65"/>
  <c r="H36" i="65"/>
  <c r="U35" i="65"/>
  <c r="H35" i="65"/>
  <c r="S50" i="65"/>
  <c r="H34" i="65"/>
  <c r="T50" i="65"/>
  <c r="U33" i="65"/>
  <c r="H33" i="65"/>
  <c r="U32" i="65"/>
  <c r="H32" i="65"/>
  <c r="V32" i="65" s="1"/>
  <c r="U31" i="65"/>
  <c r="H31" i="65"/>
  <c r="V31" i="65" s="1"/>
  <c r="U30" i="65"/>
  <c r="H30" i="65"/>
  <c r="V30" i="65" s="1"/>
  <c r="U29" i="65"/>
  <c r="H29" i="65"/>
  <c r="V29" i="65" s="1"/>
  <c r="U28" i="65"/>
  <c r="H28" i="65"/>
  <c r="V28" i="65" s="1"/>
  <c r="U26" i="65"/>
  <c r="H26" i="65"/>
  <c r="V26" i="65" s="1"/>
  <c r="U25" i="65"/>
  <c r="H25" i="65"/>
  <c r="V25" i="65" s="1"/>
  <c r="U24" i="65"/>
  <c r="H24" i="65"/>
  <c r="H50" i="65" s="1"/>
  <c r="S19" i="65"/>
  <c r="R19" i="65"/>
  <c r="Q19" i="65"/>
  <c r="P19" i="65"/>
  <c r="O19" i="65"/>
  <c r="N19" i="65"/>
  <c r="M19" i="65"/>
  <c r="L19" i="65"/>
  <c r="K19" i="65"/>
  <c r="J19" i="65"/>
  <c r="I19" i="65"/>
  <c r="F19" i="65"/>
  <c r="D19" i="65"/>
  <c r="C19" i="65"/>
  <c r="U18" i="65"/>
  <c r="H18" i="65"/>
  <c r="U17" i="65"/>
  <c r="H17" i="65"/>
  <c r="U16" i="65"/>
  <c r="H16" i="65"/>
  <c r="U15" i="65"/>
  <c r="H15" i="65"/>
  <c r="U14" i="65"/>
  <c r="H14" i="65"/>
  <c r="U13" i="65"/>
  <c r="H13" i="65"/>
  <c r="U12" i="65"/>
  <c r="H12" i="65"/>
  <c r="U11" i="65"/>
  <c r="H11" i="65"/>
  <c r="U10" i="65"/>
  <c r="H10" i="65"/>
  <c r="T19" i="65"/>
  <c r="U9" i="65"/>
  <c r="H9" i="65"/>
  <c r="U8" i="65"/>
  <c r="H8" i="65"/>
  <c r="T46" i="64"/>
  <c r="S46" i="64"/>
  <c r="T45" i="64"/>
  <c r="S45" i="64"/>
  <c r="T37" i="64"/>
  <c r="S37" i="64"/>
  <c r="T36" i="64"/>
  <c r="S36" i="64"/>
  <c r="T33" i="64"/>
  <c r="S33" i="64"/>
  <c r="T32" i="64"/>
  <c r="S32" i="64"/>
  <c r="U39" i="64"/>
  <c r="V39" i="64" s="1"/>
  <c r="H39" i="64"/>
  <c r="U35" i="64"/>
  <c r="H35" i="64"/>
  <c r="U28" i="64"/>
  <c r="H28" i="64"/>
  <c r="T13" i="64"/>
  <c r="S13" i="64"/>
  <c r="T9" i="64"/>
  <c r="S9" i="64"/>
  <c r="U12" i="64"/>
  <c r="V12" i="64" s="1"/>
  <c r="H12" i="64"/>
  <c r="Q49" i="64"/>
  <c r="P49" i="64"/>
  <c r="O49" i="64"/>
  <c r="N49" i="64"/>
  <c r="M49" i="64"/>
  <c r="L49" i="64"/>
  <c r="K49" i="64"/>
  <c r="J49" i="64"/>
  <c r="I49" i="64"/>
  <c r="G49" i="64"/>
  <c r="F49" i="64"/>
  <c r="E49" i="64"/>
  <c r="D49" i="64"/>
  <c r="C49" i="64"/>
  <c r="U47" i="64"/>
  <c r="H47" i="64"/>
  <c r="V47" i="64" s="1"/>
  <c r="U46" i="64"/>
  <c r="H46" i="64"/>
  <c r="U45" i="64"/>
  <c r="H45" i="64"/>
  <c r="U44" i="64"/>
  <c r="H44" i="64"/>
  <c r="U43" i="64"/>
  <c r="H43" i="64"/>
  <c r="V43" i="64" s="1"/>
  <c r="U42" i="64"/>
  <c r="H42" i="64"/>
  <c r="U41" i="64"/>
  <c r="H41" i="64"/>
  <c r="V41" i="64" s="1"/>
  <c r="U40" i="64"/>
  <c r="H40" i="64"/>
  <c r="V40" i="64" s="1"/>
  <c r="U38" i="64"/>
  <c r="H38" i="64"/>
  <c r="T49" i="64"/>
  <c r="U37" i="64"/>
  <c r="H37" i="64"/>
  <c r="U36" i="64"/>
  <c r="H36" i="64"/>
  <c r="U34" i="64"/>
  <c r="H34" i="64"/>
  <c r="U33" i="64"/>
  <c r="H33" i="64"/>
  <c r="U32" i="64"/>
  <c r="H32" i="64"/>
  <c r="U31" i="64"/>
  <c r="H31" i="64"/>
  <c r="U30" i="64"/>
  <c r="H30" i="64"/>
  <c r="U29" i="64"/>
  <c r="H29" i="64"/>
  <c r="U27" i="64"/>
  <c r="H27" i="64"/>
  <c r="U26" i="64"/>
  <c r="H26" i="64"/>
  <c r="S49" i="64"/>
  <c r="U25" i="64"/>
  <c r="H25" i="64"/>
  <c r="R49" i="64"/>
  <c r="H24" i="64"/>
  <c r="H49" i="64" s="1"/>
  <c r="T19" i="64"/>
  <c r="R19" i="64"/>
  <c r="Q19" i="64"/>
  <c r="P19" i="64"/>
  <c r="O19" i="64"/>
  <c r="N19" i="64"/>
  <c r="M19" i="64"/>
  <c r="L19" i="64"/>
  <c r="K19" i="64"/>
  <c r="J19" i="64"/>
  <c r="I19" i="64"/>
  <c r="F19" i="64"/>
  <c r="D19" i="64"/>
  <c r="C19" i="64"/>
  <c r="U18" i="64"/>
  <c r="H18" i="64"/>
  <c r="V18" i="64" s="1"/>
  <c r="U17" i="64"/>
  <c r="H17" i="64"/>
  <c r="V17" i="64" s="1"/>
  <c r="U16" i="64"/>
  <c r="H16" i="64"/>
  <c r="V16" i="64" s="1"/>
  <c r="U15" i="64"/>
  <c r="H15" i="64"/>
  <c r="V15" i="64" s="1"/>
  <c r="U14" i="64"/>
  <c r="H14" i="64"/>
  <c r="V14" i="64" s="1"/>
  <c r="U13" i="64"/>
  <c r="H13" i="64"/>
  <c r="U11" i="64"/>
  <c r="H11" i="64"/>
  <c r="V11" i="64" s="1"/>
  <c r="U10" i="64"/>
  <c r="H10" i="64"/>
  <c r="V10" i="64" s="1"/>
  <c r="S19" i="64"/>
  <c r="H9" i="64"/>
  <c r="U8" i="64"/>
  <c r="H8" i="64"/>
  <c r="V8" i="64" s="1"/>
  <c r="V14" i="66" l="1"/>
  <c r="V15" i="66"/>
  <c r="V16" i="66"/>
  <c r="V17" i="66"/>
  <c r="V18" i="66"/>
  <c r="V13" i="66"/>
  <c r="V9" i="66"/>
  <c r="V8" i="66"/>
  <c r="V19" i="66" s="1"/>
  <c r="V24" i="66"/>
  <c r="V50" i="66" s="1"/>
  <c r="H19" i="65"/>
  <c r="V35" i="65"/>
  <c r="V36" i="65"/>
  <c r="V38" i="65"/>
  <c r="V39" i="65"/>
  <c r="V40" i="65"/>
  <c r="V41" i="65"/>
  <c r="V42" i="65"/>
  <c r="V43" i="65"/>
  <c r="V44" i="65"/>
  <c r="V45" i="65"/>
  <c r="V47" i="65"/>
  <c r="V48" i="65"/>
  <c r="U19" i="65"/>
  <c r="V10" i="65"/>
  <c r="V11" i="65"/>
  <c r="V12" i="65"/>
  <c r="V13" i="65"/>
  <c r="V14" i="65"/>
  <c r="V15" i="65"/>
  <c r="V16" i="65"/>
  <c r="V17" i="65"/>
  <c r="V18" i="65"/>
  <c r="V9" i="65"/>
  <c r="V33" i="65"/>
  <c r="V37" i="65"/>
  <c r="V46" i="65"/>
  <c r="V24" i="65"/>
  <c r="U34" i="65"/>
  <c r="U50" i="65" s="1"/>
  <c r="V8" i="65"/>
  <c r="V45" i="64"/>
  <c r="V35" i="64"/>
  <c r="V28" i="64"/>
  <c r="V26" i="64"/>
  <c r="V29" i="64"/>
  <c r="V31" i="64"/>
  <c r="V33" i="64"/>
  <c r="V36" i="64"/>
  <c r="V37" i="64"/>
  <c r="V13" i="64"/>
  <c r="V25" i="64"/>
  <c r="V27" i="64"/>
  <c r="V30" i="64"/>
  <c r="V32" i="64"/>
  <c r="V34" i="64"/>
  <c r="V38" i="64"/>
  <c r="V42" i="64"/>
  <c r="V44" i="64"/>
  <c r="V46" i="64"/>
  <c r="U9" i="64"/>
  <c r="U19" i="64" s="1"/>
  <c r="H19" i="64"/>
  <c r="U24" i="64"/>
  <c r="U49" i="64" s="1"/>
  <c r="S31" i="63"/>
  <c r="R31" i="63"/>
  <c r="S30" i="63"/>
  <c r="R30" i="63"/>
  <c r="S25" i="63"/>
  <c r="R25" i="63"/>
  <c r="S23" i="63"/>
  <c r="R23" i="63"/>
  <c r="U31" i="63"/>
  <c r="V31" i="63" s="1"/>
  <c r="U30" i="63"/>
  <c r="V30" i="63" s="1"/>
  <c r="H31" i="63"/>
  <c r="H30" i="63"/>
  <c r="T9" i="63"/>
  <c r="S9" i="63"/>
  <c r="R9" i="63"/>
  <c r="T9" i="62"/>
  <c r="S9" i="62"/>
  <c r="R9" i="62"/>
  <c r="Q9" i="62"/>
  <c r="T9" i="61"/>
  <c r="S9" i="61"/>
  <c r="R9" i="61"/>
  <c r="Q9" i="61"/>
  <c r="P9" i="61"/>
  <c r="T9" i="56"/>
  <c r="S9" i="56"/>
  <c r="R9" i="56"/>
  <c r="Q9" i="56"/>
  <c r="P9" i="56"/>
  <c r="O9" i="56"/>
  <c r="N9" i="56"/>
  <c r="M9" i="56"/>
  <c r="L9" i="56"/>
  <c r="K9" i="56"/>
  <c r="T9" i="57"/>
  <c r="S9" i="57"/>
  <c r="R9" i="57"/>
  <c r="Q9" i="57"/>
  <c r="P9" i="57"/>
  <c r="O9" i="57"/>
  <c r="N9" i="57"/>
  <c r="M9" i="57"/>
  <c r="L9" i="57"/>
  <c r="V19" i="65" l="1"/>
  <c r="V34" i="65"/>
  <c r="V50" i="65" s="1"/>
  <c r="V24" i="64"/>
  <c r="V49" i="64" s="1"/>
  <c r="V9" i="64"/>
  <c r="V19" i="64" s="1"/>
  <c r="T9" i="58"/>
  <c r="S9" i="58"/>
  <c r="R9" i="58"/>
  <c r="Q9" i="58"/>
  <c r="P9" i="58"/>
  <c r="O9" i="58"/>
  <c r="N9" i="58"/>
  <c r="M9" i="58"/>
  <c r="T9" i="59"/>
  <c r="S9" i="59"/>
  <c r="R9" i="59"/>
  <c r="Q9" i="59"/>
  <c r="P9" i="59"/>
  <c r="O9" i="59"/>
  <c r="N9" i="59"/>
  <c r="T9" i="60"/>
  <c r="S9" i="60"/>
  <c r="R9" i="60"/>
  <c r="Q9" i="60"/>
  <c r="P9" i="60"/>
  <c r="O9" i="60"/>
  <c r="S42" i="63" l="1"/>
  <c r="R42" i="63"/>
  <c r="S43" i="63"/>
  <c r="T43" i="63"/>
  <c r="R43" i="63"/>
  <c r="S41" i="63"/>
  <c r="R41" i="63"/>
  <c r="S40" i="63"/>
  <c r="R40" i="63"/>
  <c r="S39" i="63"/>
  <c r="R39" i="63"/>
  <c r="S38" i="63"/>
  <c r="R38" i="63"/>
  <c r="S36" i="63"/>
  <c r="R36" i="63"/>
  <c r="U36" i="63" s="1"/>
  <c r="S35" i="63"/>
  <c r="R35" i="63"/>
  <c r="S33" i="63"/>
  <c r="R33" i="63"/>
  <c r="S32" i="63"/>
  <c r="R32" i="63"/>
  <c r="U32" i="63" s="1"/>
  <c r="S34" i="63"/>
  <c r="T34" i="63"/>
  <c r="R34" i="63"/>
  <c r="S29" i="63"/>
  <c r="R29" i="63"/>
  <c r="S28" i="63"/>
  <c r="R28" i="63"/>
  <c r="S27" i="63"/>
  <c r="R27" i="63"/>
  <c r="S26" i="63"/>
  <c r="R26" i="63"/>
  <c r="S24" i="63"/>
  <c r="R24" i="63"/>
  <c r="S12" i="63"/>
  <c r="T12" i="63"/>
  <c r="R12" i="63"/>
  <c r="U13" i="63"/>
  <c r="H13" i="63"/>
  <c r="P45" i="63"/>
  <c r="O45" i="63"/>
  <c r="N45" i="63"/>
  <c r="M45" i="63"/>
  <c r="L45" i="63"/>
  <c r="K45" i="63"/>
  <c r="J45" i="63"/>
  <c r="I45" i="63"/>
  <c r="G45" i="63"/>
  <c r="F45" i="63"/>
  <c r="E45" i="63"/>
  <c r="D45" i="63"/>
  <c r="C45" i="63"/>
  <c r="U43" i="63"/>
  <c r="H43" i="63"/>
  <c r="U42" i="63"/>
  <c r="H42" i="63"/>
  <c r="U41" i="63"/>
  <c r="H41" i="63"/>
  <c r="U40" i="63"/>
  <c r="H40" i="63"/>
  <c r="U39" i="63"/>
  <c r="H39" i="63"/>
  <c r="U38" i="63"/>
  <c r="H38" i="63"/>
  <c r="U37" i="63"/>
  <c r="H37" i="63"/>
  <c r="H36" i="63"/>
  <c r="U35" i="63"/>
  <c r="V35" i="63" s="1"/>
  <c r="H35" i="63"/>
  <c r="H34" i="63"/>
  <c r="U33" i="63"/>
  <c r="H33" i="63"/>
  <c r="H32" i="63"/>
  <c r="U29" i="63"/>
  <c r="H29" i="63"/>
  <c r="U28" i="63"/>
  <c r="V28" i="63" s="1"/>
  <c r="H28" i="63"/>
  <c r="U27" i="63"/>
  <c r="H27" i="63"/>
  <c r="U26" i="63"/>
  <c r="V26" i="63" s="1"/>
  <c r="H26" i="63"/>
  <c r="U25" i="63"/>
  <c r="H25" i="63"/>
  <c r="U24" i="63"/>
  <c r="V24" i="63" s="1"/>
  <c r="H24" i="63"/>
  <c r="Q45" i="63"/>
  <c r="H23" i="63"/>
  <c r="R18" i="63"/>
  <c r="P18" i="63"/>
  <c r="O18" i="63"/>
  <c r="N18" i="63"/>
  <c r="M18" i="63"/>
  <c r="L18" i="63"/>
  <c r="K18" i="63"/>
  <c r="J18" i="63"/>
  <c r="I18" i="63"/>
  <c r="F18" i="63"/>
  <c r="D18" i="63"/>
  <c r="C18" i="63"/>
  <c r="U17" i="63"/>
  <c r="H17" i="63"/>
  <c r="U16" i="63"/>
  <c r="H16" i="63"/>
  <c r="U15" i="63"/>
  <c r="H15" i="63"/>
  <c r="U14" i="63"/>
  <c r="H14" i="63"/>
  <c r="U12" i="63"/>
  <c r="H12" i="63"/>
  <c r="U11" i="63"/>
  <c r="H11" i="63"/>
  <c r="U10" i="63"/>
  <c r="H10" i="63"/>
  <c r="S18" i="63"/>
  <c r="Q18" i="63"/>
  <c r="H9" i="63"/>
  <c r="U8" i="63"/>
  <c r="H8" i="63"/>
  <c r="T40" i="62"/>
  <c r="R40" i="62"/>
  <c r="S40" i="62"/>
  <c r="Q40" i="62"/>
  <c r="T39" i="62"/>
  <c r="R39" i="62"/>
  <c r="S39" i="62"/>
  <c r="Q39" i="62"/>
  <c r="R38" i="62"/>
  <c r="S38" i="62"/>
  <c r="Q38" i="62"/>
  <c r="S37" i="62"/>
  <c r="R37" i="62"/>
  <c r="Q37" i="62"/>
  <c r="R36" i="62"/>
  <c r="S36" i="62"/>
  <c r="Q36" i="62"/>
  <c r="R35" i="62"/>
  <c r="S35" i="62"/>
  <c r="Q35" i="62"/>
  <c r="R33" i="62"/>
  <c r="S33" i="62"/>
  <c r="Q33" i="62"/>
  <c r="R32" i="62"/>
  <c r="S32" i="62"/>
  <c r="Q32" i="62"/>
  <c r="R31" i="62"/>
  <c r="S31" i="62"/>
  <c r="T31" i="62"/>
  <c r="Q31" i="62"/>
  <c r="R30" i="62"/>
  <c r="S30" i="62"/>
  <c r="T30" i="62"/>
  <c r="Q30" i="62"/>
  <c r="V33" i="63" l="1"/>
  <c r="V40" i="63"/>
  <c r="V42" i="63"/>
  <c r="V43" i="63"/>
  <c r="V32" i="63"/>
  <c r="V36" i="63"/>
  <c r="V13" i="63"/>
  <c r="U34" i="63"/>
  <c r="S45" i="63"/>
  <c r="V15" i="63"/>
  <c r="T45" i="63"/>
  <c r="V34" i="63"/>
  <c r="T18" i="63"/>
  <c r="R45" i="63"/>
  <c r="H18" i="63"/>
  <c r="V10" i="63"/>
  <c r="V17" i="63"/>
  <c r="V39" i="63"/>
  <c r="V41" i="63"/>
  <c r="V37" i="63"/>
  <c r="V14" i="63"/>
  <c r="V11" i="63"/>
  <c r="V16" i="63"/>
  <c r="V12" i="63"/>
  <c r="V25" i="63"/>
  <c r="V27" i="63"/>
  <c r="V29" i="63"/>
  <c r="V38" i="63"/>
  <c r="U23" i="63"/>
  <c r="H45" i="63"/>
  <c r="V8" i="63"/>
  <c r="U9" i="63"/>
  <c r="U18" i="63" s="1"/>
  <c r="R29" i="62"/>
  <c r="S29" i="62"/>
  <c r="Q29" i="62"/>
  <c r="R28" i="62"/>
  <c r="S28" i="62"/>
  <c r="Q28" i="62"/>
  <c r="R27" i="62"/>
  <c r="S27" i="62"/>
  <c r="Q27" i="62"/>
  <c r="Q26" i="62"/>
  <c r="R26" i="62"/>
  <c r="S26" i="62"/>
  <c r="R25" i="62"/>
  <c r="S25" i="62"/>
  <c r="Q25" i="62"/>
  <c r="R24" i="62"/>
  <c r="S24" i="62"/>
  <c r="Q24" i="62"/>
  <c r="U45" i="63" l="1"/>
  <c r="V23" i="63"/>
  <c r="V45" i="63" s="1"/>
  <c r="V9" i="63"/>
  <c r="V18" i="63" s="1"/>
  <c r="R23" i="62"/>
  <c r="S23" i="62"/>
  <c r="S42" i="62" s="1"/>
  <c r="Q23" i="62"/>
  <c r="R22" i="62"/>
  <c r="S22" i="62"/>
  <c r="Q22" i="62"/>
  <c r="R12" i="62"/>
  <c r="S12" i="62"/>
  <c r="U12" i="62" s="1"/>
  <c r="T12" i="62"/>
  <c r="Q12" i="62"/>
  <c r="O42" i="62"/>
  <c r="N42" i="62"/>
  <c r="M42" i="62"/>
  <c r="L42" i="62"/>
  <c r="K42" i="62"/>
  <c r="J42" i="62"/>
  <c r="I42" i="62"/>
  <c r="G42" i="62"/>
  <c r="F42" i="62"/>
  <c r="E42" i="62"/>
  <c r="D42" i="62"/>
  <c r="C42" i="62"/>
  <c r="U40" i="62"/>
  <c r="H40" i="62"/>
  <c r="T42" i="62"/>
  <c r="U39" i="62"/>
  <c r="H39" i="62"/>
  <c r="U38" i="62"/>
  <c r="V38" i="62" s="1"/>
  <c r="H38" i="62"/>
  <c r="U37" i="62"/>
  <c r="H37" i="62"/>
  <c r="U36" i="62"/>
  <c r="H36" i="62"/>
  <c r="U35" i="62"/>
  <c r="H35" i="62"/>
  <c r="U34" i="62"/>
  <c r="V34" i="62" s="1"/>
  <c r="H34" i="62"/>
  <c r="U33" i="62"/>
  <c r="H33" i="62"/>
  <c r="U32" i="62"/>
  <c r="H32" i="62"/>
  <c r="U31" i="62"/>
  <c r="H31" i="62"/>
  <c r="U30" i="62"/>
  <c r="V30" i="62" s="1"/>
  <c r="H30" i="62"/>
  <c r="U29" i="62"/>
  <c r="H29" i="62"/>
  <c r="U28" i="62"/>
  <c r="V28" i="62" s="1"/>
  <c r="H28" i="62"/>
  <c r="U27" i="62"/>
  <c r="H27" i="62"/>
  <c r="V27" i="62" s="1"/>
  <c r="U26" i="62"/>
  <c r="H26" i="62"/>
  <c r="U25" i="62"/>
  <c r="H25" i="62"/>
  <c r="U24" i="62"/>
  <c r="V24" i="62" s="1"/>
  <c r="H24" i="62"/>
  <c r="U23" i="62"/>
  <c r="H23" i="62"/>
  <c r="R42" i="62"/>
  <c r="P42" i="62"/>
  <c r="H22" i="62"/>
  <c r="O17" i="62"/>
  <c r="N17" i="62"/>
  <c r="M17" i="62"/>
  <c r="L17" i="62"/>
  <c r="K17" i="62"/>
  <c r="J17" i="62"/>
  <c r="I17" i="62"/>
  <c r="F17" i="62"/>
  <c r="D17" i="62"/>
  <c r="C17" i="62"/>
  <c r="U16" i="62"/>
  <c r="H16" i="62"/>
  <c r="V16" i="62" s="1"/>
  <c r="U15" i="62"/>
  <c r="H15" i="62"/>
  <c r="V15" i="62" s="1"/>
  <c r="U14" i="62"/>
  <c r="H14" i="62"/>
  <c r="U13" i="62"/>
  <c r="H13" i="62"/>
  <c r="H12" i="62"/>
  <c r="U11" i="62"/>
  <c r="H11" i="62"/>
  <c r="U10" i="62"/>
  <c r="H10" i="62"/>
  <c r="V10" i="62" s="1"/>
  <c r="T17" i="62"/>
  <c r="S17" i="62"/>
  <c r="R17" i="62"/>
  <c r="Q17" i="62"/>
  <c r="P17" i="62"/>
  <c r="H9" i="62"/>
  <c r="U8" i="62"/>
  <c r="H8" i="62"/>
  <c r="Q40" i="61"/>
  <c r="R40" i="61"/>
  <c r="S40" i="61"/>
  <c r="T40" i="61"/>
  <c r="P40" i="61"/>
  <c r="Q39" i="61"/>
  <c r="R39" i="61"/>
  <c r="S39" i="61"/>
  <c r="T39" i="61"/>
  <c r="P39" i="61"/>
  <c r="Q38" i="61"/>
  <c r="R38" i="61"/>
  <c r="S38" i="61"/>
  <c r="P38" i="61"/>
  <c r="Q37" i="61"/>
  <c r="R37" i="61"/>
  <c r="S37" i="61"/>
  <c r="P37" i="61"/>
  <c r="Q36" i="61"/>
  <c r="R36" i="61"/>
  <c r="S36" i="61"/>
  <c r="P36" i="61"/>
  <c r="Q35" i="61"/>
  <c r="R35" i="61"/>
  <c r="S35" i="61"/>
  <c r="P35" i="61"/>
  <c r="R33" i="61"/>
  <c r="S33" i="61"/>
  <c r="Q33" i="61"/>
  <c r="P33" i="61"/>
  <c r="Q32" i="61"/>
  <c r="R32" i="61"/>
  <c r="S32" i="61"/>
  <c r="P32" i="61"/>
  <c r="Q31" i="61"/>
  <c r="R31" i="61"/>
  <c r="S31" i="61"/>
  <c r="T31" i="61"/>
  <c r="P31" i="61"/>
  <c r="Q30" i="61"/>
  <c r="R30" i="61"/>
  <c r="S30" i="61"/>
  <c r="T30" i="61"/>
  <c r="P30" i="61"/>
  <c r="Q29" i="61"/>
  <c r="R29" i="61"/>
  <c r="S29" i="61"/>
  <c r="P29" i="61"/>
  <c r="Q28" i="61"/>
  <c r="R28" i="61"/>
  <c r="S28" i="61"/>
  <c r="P28" i="61"/>
  <c r="Q27" i="61"/>
  <c r="R27" i="61"/>
  <c r="S27" i="61"/>
  <c r="P27" i="61"/>
  <c r="Q26" i="61"/>
  <c r="R26" i="61"/>
  <c r="S26" i="61"/>
  <c r="P26" i="61"/>
  <c r="V40" i="62" l="1"/>
  <c r="H17" i="62"/>
  <c r="H42" i="62"/>
  <c r="V25" i="62"/>
  <c r="V29" i="62"/>
  <c r="V31" i="62"/>
  <c r="V35" i="62"/>
  <c r="V39" i="62"/>
  <c r="V13" i="62"/>
  <c r="V8" i="62"/>
  <c r="V14" i="62"/>
  <c r="V37" i="62"/>
  <c r="Q42" i="62"/>
  <c r="V33" i="62"/>
  <c r="V36" i="62"/>
  <c r="V12" i="62"/>
  <c r="V11" i="62"/>
  <c r="V23" i="62"/>
  <c r="V26" i="62"/>
  <c r="V32" i="62"/>
  <c r="U22" i="62"/>
  <c r="U42" i="62" s="1"/>
  <c r="U9" i="62"/>
  <c r="V9" i="62" s="1"/>
  <c r="Q25" i="61"/>
  <c r="R25" i="61"/>
  <c r="U25" i="61" s="1"/>
  <c r="S25" i="61"/>
  <c r="P25" i="61"/>
  <c r="Q24" i="61"/>
  <c r="R24" i="61"/>
  <c r="S24" i="61"/>
  <c r="P24" i="61"/>
  <c r="Q23" i="61"/>
  <c r="R23" i="61"/>
  <c r="S23" i="61"/>
  <c r="P23" i="61"/>
  <c r="Q22" i="61"/>
  <c r="R22" i="61"/>
  <c r="R42" i="61" s="1"/>
  <c r="S22" i="61"/>
  <c r="U22" i="61" s="1"/>
  <c r="P22" i="61"/>
  <c r="Q12" i="61"/>
  <c r="R12" i="61"/>
  <c r="S12" i="61"/>
  <c r="T12" i="61"/>
  <c r="P12" i="61"/>
  <c r="S17" i="61"/>
  <c r="N42" i="61"/>
  <c r="M42" i="61"/>
  <c r="L42" i="61"/>
  <c r="K42" i="61"/>
  <c r="J42" i="61"/>
  <c r="I42" i="61"/>
  <c r="G42" i="61"/>
  <c r="F42" i="61"/>
  <c r="E42" i="61"/>
  <c r="D42" i="61"/>
  <c r="C42" i="61"/>
  <c r="T42" i="61"/>
  <c r="U40" i="61"/>
  <c r="H40" i="61"/>
  <c r="U39" i="61"/>
  <c r="H39" i="61"/>
  <c r="U38" i="61"/>
  <c r="V38" i="61" s="1"/>
  <c r="H38" i="61"/>
  <c r="U37" i="61"/>
  <c r="V37" i="61" s="1"/>
  <c r="H37" i="61"/>
  <c r="U36" i="61"/>
  <c r="V36" i="61" s="1"/>
  <c r="H36" i="61"/>
  <c r="U35" i="61"/>
  <c r="V35" i="61" s="1"/>
  <c r="H35" i="61"/>
  <c r="U34" i="61"/>
  <c r="V34" i="61" s="1"/>
  <c r="H34" i="61"/>
  <c r="U33" i="61"/>
  <c r="V33" i="61" s="1"/>
  <c r="H33" i="61"/>
  <c r="H32" i="61"/>
  <c r="U31" i="61"/>
  <c r="H31" i="61"/>
  <c r="U30" i="61"/>
  <c r="H30" i="61"/>
  <c r="U29" i="61"/>
  <c r="H29" i="61"/>
  <c r="U28" i="61"/>
  <c r="H28" i="61"/>
  <c r="V28" i="61" s="1"/>
  <c r="U27" i="61"/>
  <c r="H27" i="61"/>
  <c r="U26" i="61"/>
  <c r="H26" i="61"/>
  <c r="H25" i="61"/>
  <c r="U24" i="61"/>
  <c r="H24" i="61"/>
  <c r="V24" i="61" s="1"/>
  <c r="U23" i="61"/>
  <c r="H23" i="61"/>
  <c r="S42" i="61"/>
  <c r="Q42" i="61"/>
  <c r="H22" i="61"/>
  <c r="O17" i="61"/>
  <c r="N17" i="61"/>
  <c r="M17" i="61"/>
  <c r="L17" i="61"/>
  <c r="K17" i="61"/>
  <c r="J17" i="61"/>
  <c r="I17" i="61"/>
  <c r="F17" i="61"/>
  <c r="D17" i="61"/>
  <c r="C17" i="61"/>
  <c r="U16" i="61"/>
  <c r="V16" i="61" s="1"/>
  <c r="H16" i="61"/>
  <c r="U15" i="61"/>
  <c r="H15" i="61"/>
  <c r="U14" i="61"/>
  <c r="H14" i="61"/>
  <c r="V14" i="61" s="1"/>
  <c r="U13" i="61"/>
  <c r="V13" i="61" s="1"/>
  <c r="H13" i="61"/>
  <c r="U12" i="61"/>
  <c r="H12" i="61"/>
  <c r="U11" i="61"/>
  <c r="V11" i="61" s="1"/>
  <c r="H11" i="61"/>
  <c r="U10" i="61"/>
  <c r="V10" i="61" s="1"/>
  <c r="H10" i="61"/>
  <c r="R17" i="61"/>
  <c r="Q17" i="61"/>
  <c r="P17" i="61"/>
  <c r="H9" i="61"/>
  <c r="U8" i="61"/>
  <c r="H8" i="61"/>
  <c r="H17" i="61" s="1"/>
  <c r="V22" i="62" l="1"/>
  <c r="V42" i="62" s="1"/>
  <c r="V17" i="62"/>
  <c r="U17" i="62"/>
  <c r="V30" i="61"/>
  <c r="V26" i="61"/>
  <c r="V22" i="61"/>
  <c r="P42" i="61"/>
  <c r="V39" i="61"/>
  <c r="V31" i="61"/>
  <c r="T17" i="61"/>
  <c r="V15" i="61"/>
  <c r="V12" i="61"/>
  <c r="V40" i="61"/>
  <c r="V23" i="61"/>
  <c r="V25" i="61"/>
  <c r="V27" i="61"/>
  <c r="V29" i="61"/>
  <c r="U32" i="61"/>
  <c r="V32" i="61" s="1"/>
  <c r="H42" i="61"/>
  <c r="O42" i="61"/>
  <c r="V8" i="61"/>
  <c r="U9" i="61"/>
  <c r="U17" i="61" s="1"/>
  <c r="T40" i="60"/>
  <c r="S40" i="60"/>
  <c r="R40" i="60"/>
  <c r="Q40" i="60"/>
  <c r="P40" i="60"/>
  <c r="O40" i="60"/>
  <c r="T39" i="60"/>
  <c r="S39" i="60"/>
  <c r="R39" i="60"/>
  <c r="Q39" i="60"/>
  <c r="P39" i="60"/>
  <c r="O39" i="60"/>
  <c r="S38" i="60"/>
  <c r="R38" i="60"/>
  <c r="Q38" i="60"/>
  <c r="P38" i="60"/>
  <c r="U38" i="60" s="1"/>
  <c r="O38" i="60"/>
  <c r="S37" i="60"/>
  <c r="R37" i="60"/>
  <c r="Q37" i="60"/>
  <c r="P37" i="60"/>
  <c r="O37" i="60"/>
  <c r="S36" i="60"/>
  <c r="R36" i="60"/>
  <c r="Q36" i="60"/>
  <c r="P36" i="60"/>
  <c r="U36" i="60" s="1"/>
  <c r="O36" i="60"/>
  <c r="O35" i="60"/>
  <c r="U35" i="60" s="1"/>
  <c r="V35" i="60" s="1"/>
  <c r="S33" i="60"/>
  <c r="R33" i="60"/>
  <c r="Q33" i="60"/>
  <c r="P33" i="60"/>
  <c r="O33" i="60"/>
  <c r="S32" i="60"/>
  <c r="R32" i="60"/>
  <c r="Q32" i="60"/>
  <c r="P32" i="60"/>
  <c r="O32" i="60"/>
  <c r="T31" i="60"/>
  <c r="S31" i="60"/>
  <c r="R31" i="60"/>
  <c r="Q31" i="60"/>
  <c r="P31" i="60"/>
  <c r="O31" i="60"/>
  <c r="T30" i="60"/>
  <c r="S30" i="60"/>
  <c r="R30" i="60"/>
  <c r="Q30" i="60"/>
  <c r="P30" i="60"/>
  <c r="O30" i="60"/>
  <c r="S29" i="60"/>
  <c r="R29" i="60"/>
  <c r="Q29" i="60"/>
  <c r="P29" i="60"/>
  <c r="O29" i="60"/>
  <c r="S27" i="60"/>
  <c r="R27" i="60"/>
  <c r="Q27" i="60"/>
  <c r="P27" i="60"/>
  <c r="O27" i="60"/>
  <c r="S26" i="60"/>
  <c r="R26" i="60"/>
  <c r="Q26" i="60"/>
  <c r="P26" i="60"/>
  <c r="O26" i="60"/>
  <c r="S22" i="60"/>
  <c r="R22" i="60"/>
  <c r="Q22" i="60"/>
  <c r="P22" i="60"/>
  <c r="O22" i="60"/>
  <c r="S25" i="60"/>
  <c r="R25" i="60"/>
  <c r="Q25" i="60"/>
  <c r="P25" i="60"/>
  <c r="O25" i="60"/>
  <c r="S24" i="60"/>
  <c r="R24" i="60"/>
  <c r="Q24" i="60"/>
  <c r="P24" i="60"/>
  <c r="O24" i="60"/>
  <c r="T12" i="60"/>
  <c r="S12" i="60"/>
  <c r="R12" i="60"/>
  <c r="Q12" i="60"/>
  <c r="P12" i="60"/>
  <c r="O12" i="60"/>
  <c r="S17" i="60"/>
  <c r="O17" i="60"/>
  <c r="M42" i="60"/>
  <c r="L42" i="60"/>
  <c r="K42" i="60"/>
  <c r="J42" i="60"/>
  <c r="I42" i="60"/>
  <c r="G42" i="60"/>
  <c r="F42" i="60"/>
  <c r="E42" i="60"/>
  <c r="D42" i="60"/>
  <c r="C42" i="60"/>
  <c r="H40" i="60"/>
  <c r="U39" i="60"/>
  <c r="H39" i="60"/>
  <c r="H38" i="60"/>
  <c r="H37" i="60"/>
  <c r="H36" i="60"/>
  <c r="S35" i="60"/>
  <c r="R35" i="60"/>
  <c r="Q35" i="60"/>
  <c r="P35" i="60"/>
  <c r="H35" i="60"/>
  <c r="U34" i="60"/>
  <c r="H34" i="60"/>
  <c r="H33" i="60"/>
  <c r="H32" i="60"/>
  <c r="H31" i="60"/>
  <c r="H30" i="60"/>
  <c r="H29" i="60"/>
  <c r="S28" i="60"/>
  <c r="R28" i="60"/>
  <c r="Q28" i="60"/>
  <c r="P28" i="60"/>
  <c r="O28" i="60"/>
  <c r="U28" i="60" s="1"/>
  <c r="V28" i="60" s="1"/>
  <c r="H28" i="60"/>
  <c r="H27" i="60"/>
  <c r="H26" i="60"/>
  <c r="H25" i="60"/>
  <c r="H24" i="60"/>
  <c r="S23" i="60"/>
  <c r="R23" i="60"/>
  <c r="Q23" i="60"/>
  <c r="P23" i="60"/>
  <c r="O23" i="60"/>
  <c r="U23" i="60" s="1"/>
  <c r="V23" i="60" s="1"/>
  <c r="H23" i="60"/>
  <c r="N42" i="60"/>
  <c r="H22" i="60"/>
  <c r="T17" i="60"/>
  <c r="P17" i="60"/>
  <c r="M17" i="60"/>
  <c r="L17" i="60"/>
  <c r="K17" i="60"/>
  <c r="J17" i="60"/>
  <c r="I17" i="60"/>
  <c r="F17" i="60"/>
  <c r="D17" i="60"/>
  <c r="C17" i="60"/>
  <c r="U16" i="60"/>
  <c r="V16" i="60" s="1"/>
  <c r="H16" i="60"/>
  <c r="U15" i="60"/>
  <c r="H15" i="60"/>
  <c r="U14" i="60"/>
  <c r="H14" i="60"/>
  <c r="U13" i="60"/>
  <c r="V13" i="60" s="1"/>
  <c r="H13" i="60"/>
  <c r="H12" i="60"/>
  <c r="U11" i="60"/>
  <c r="H11" i="60"/>
  <c r="V11" i="60" s="1"/>
  <c r="U10" i="60"/>
  <c r="H10" i="60"/>
  <c r="H9" i="60"/>
  <c r="N17" i="60"/>
  <c r="H8" i="60"/>
  <c r="T40" i="59"/>
  <c r="S40" i="59"/>
  <c r="R40" i="59"/>
  <c r="Q40" i="59"/>
  <c r="P40" i="59"/>
  <c r="O40" i="59"/>
  <c r="N40" i="59"/>
  <c r="T39" i="59"/>
  <c r="S39" i="59"/>
  <c r="R39" i="59"/>
  <c r="Q39" i="59"/>
  <c r="P39" i="59"/>
  <c r="O39" i="59"/>
  <c r="U39" i="59" s="1"/>
  <c r="N39" i="59"/>
  <c r="S38" i="59"/>
  <c r="R38" i="59"/>
  <c r="Q38" i="59"/>
  <c r="P38" i="59"/>
  <c r="O38" i="59"/>
  <c r="N38" i="59"/>
  <c r="S37" i="59"/>
  <c r="R37" i="59"/>
  <c r="Q37" i="59"/>
  <c r="P37" i="59"/>
  <c r="O37" i="59"/>
  <c r="N37" i="59"/>
  <c r="S36" i="59"/>
  <c r="R36" i="59"/>
  <c r="Q36" i="59"/>
  <c r="P36" i="59"/>
  <c r="O36" i="59"/>
  <c r="N36" i="59"/>
  <c r="N34" i="59"/>
  <c r="S33" i="59"/>
  <c r="R33" i="59"/>
  <c r="Q33" i="59"/>
  <c r="P33" i="59"/>
  <c r="O33" i="59"/>
  <c r="N33" i="59"/>
  <c r="S32" i="59"/>
  <c r="R32" i="59"/>
  <c r="Q32" i="59"/>
  <c r="P32" i="59"/>
  <c r="O32" i="59"/>
  <c r="N32" i="59"/>
  <c r="T31" i="59"/>
  <c r="S31" i="59"/>
  <c r="R31" i="59"/>
  <c r="Q31" i="59"/>
  <c r="P31" i="59"/>
  <c r="O31" i="59"/>
  <c r="N31" i="59"/>
  <c r="S29" i="59"/>
  <c r="R29" i="59"/>
  <c r="Q29" i="59"/>
  <c r="P29" i="59"/>
  <c r="O29" i="59"/>
  <c r="U29" i="59" s="1"/>
  <c r="N29" i="59"/>
  <c r="S27" i="59"/>
  <c r="R27" i="59"/>
  <c r="Q27" i="59"/>
  <c r="P27" i="59"/>
  <c r="O27" i="59"/>
  <c r="N27" i="59"/>
  <c r="S26" i="59"/>
  <c r="R26" i="59"/>
  <c r="Q26" i="59"/>
  <c r="P26" i="59"/>
  <c r="O26" i="59"/>
  <c r="U26" i="59" s="1"/>
  <c r="N26" i="59"/>
  <c r="S25" i="59"/>
  <c r="R25" i="59"/>
  <c r="Q25" i="59"/>
  <c r="P25" i="59"/>
  <c r="O25" i="59"/>
  <c r="U25" i="59" s="1"/>
  <c r="N25" i="59"/>
  <c r="S24" i="59"/>
  <c r="R24" i="59"/>
  <c r="Q24" i="59"/>
  <c r="P24" i="59"/>
  <c r="O24" i="59"/>
  <c r="N24" i="59"/>
  <c r="N22" i="59"/>
  <c r="S34" i="59"/>
  <c r="R34" i="59"/>
  <c r="Q34" i="59"/>
  <c r="P34" i="59"/>
  <c r="O34" i="59"/>
  <c r="T30" i="59"/>
  <c r="S30" i="59"/>
  <c r="R30" i="59"/>
  <c r="Q30" i="59"/>
  <c r="P30" i="59"/>
  <c r="O30" i="59"/>
  <c r="N30" i="59"/>
  <c r="S22" i="59"/>
  <c r="R22" i="59"/>
  <c r="Q22" i="59"/>
  <c r="P22" i="59"/>
  <c r="O22" i="59"/>
  <c r="T12" i="59"/>
  <c r="S12" i="59"/>
  <c r="R12" i="59"/>
  <c r="Q12" i="59"/>
  <c r="P12" i="59"/>
  <c r="O12" i="59"/>
  <c r="N12" i="59"/>
  <c r="O17" i="59"/>
  <c r="S8" i="59"/>
  <c r="S17" i="59" s="1"/>
  <c r="R8" i="59"/>
  <c r="Q8" i="59"/>
  <c r="P8" i="59"/>
  <c r="O8" i="59"/>
  <c r="N8" i="59"/>
  <c r="L42" i="59"/>
  <c r="K42" i="59"/>
  <c r="J42" i="59"/>
  <c r="I42" i="59"/>
  <c r="G42" i="59"/>
  <c r="F42" i="59"/>
  <c r="E42" i="59"/>
  <c r="D42" i="59"/>
  <c r="C42" i="59"/>
  <c r="H40" i="59"/>
  <c r="H39" i="59"/>
  <c r="U38" i="59"/>
  <c r="V38" i="59" s="1"/>
  <c r="H38" i="59"/>
  <c r="H37" i="59"/>
  <c r="H36" i="59"/>
  <c r="S35" i="59"/>
  <c r="R35" i="59"/>
  <c r="Q35" i="59"/>
  <c r="P35" i="59"/>
  <c r="O35" i="59"/>
  <c r="H35" i="59"/>
  <c r="H34" i="59"/>
  <c r="H33" i="59"/>
  <c r="H32" i="59"/>
  <c r="H31" i="59"/>
  <c r="H30" i="59"/>
  <c r="H29" i="59"/>
  <c r="S28" i="59"/>
  <c r="R28" i="59"/>
  <c r="Q28" i="59"/>
  <c r="P28" i="59"/>
  <c r="O28" i="59"/>
  <c r="U28" i="59" s="1"/>
  <c r="H28" i="59"/>
  <c r="H27" i="59"/>
  <c r="H26" i="59"/>
  <c r="H25" i="59"/>
  <c r="M42" i="59"/>
  <c r="H24" i="59"/>
  <c r="S23" i="59"/>
  <c r="R23" i="59"/>
  <c r="Q23" i="59"/>
  <c r="P23" i="59"/>
  <c r="O23" i="59"/>
  <c r="U23" i="59" s="1"/>
  <c r="H23" i="59"/>
  <c r="H22" i="59"/>
  <c r="M17" i="59"/>
  <c r="L17" i="59"/>
  <c r="K17" i="59"/>
  <c r="J17" i="59"/>
  <c r="I17" i="59"/>
  <c r="F17" i="59"/>
  <c r="D17" i="59"/>
  <c r="C17" i="59"/>
  <c r="U16" i="59"/>
  <c r="H16" i="59"/>
  <c r="V16" i="59" s="1"/>
  <c r="U15" i="59"/>
  <c r="H15" i="59"/>
  <c r="U14" i="59"/>
  <c r="H14" i="59"/>
  <c r="U13" i="59"/>
  <c r="H13" i="59"/>
  <c r="V13" i="59" s="1"/>
  <c r="H12" i="59"/>
  <c r="U11" i="59"/>
  <c r="V11" i="59" s="1"/>
  <c r="H11" i="59"/>
  <c r="U10" i="59"/>
  <c r="V10" i="59" s="1"/>
  <c r="H10" i="59"/>
  <c r="H9" i="59"/>
  <c r="H8" i="59"/>
  <c r="H17" i="59" s="1"/>
  <c r="T40" i="58"/>
  <c r="S40" i="58"/>
  <c r="R40" i="58"/>
  <c r="Q40" i="58"/>
  <c r="P40" i="58"/>
  <c r="O40" i="58"/>
  <c r="N40" i="58"/>
  <c r="M40" i="58"/>
  <c r="T39" i="58"/>
  <c r="S39" i="58"/>
  <c r="R39" i="58"/>
  <c r="Q39" i="58"/>
  <c r="P39" i="58"/>
  <c r="O39" i="58"/>
  <c r="N39" i="58"/>
  <c r="M39" i="58"/>
  <c r="S37" i="58"/>
  <c r="R37" i="58"/>
  <c r="Q37" i="58"/>
  <c r="P37" i="58"/>
  <c r="O37" i="58"/>
  <c r="N37" i="58"/>
  <c r="M37" i="58"/>
  <c r="S36" i="58"/>
  <c r="R36" i="58"/>
  <c r="Q36" i="58"/>
  <c r="P36" i="58"/>
  <c r="O36" i="58"/>
  <c r="N36" i="58"/>
  <c r="M36" i="58"/>
  <c r="S33" i="58"/>
  <c r="R33" i="58"/>
  <c r="Q33" i="58"/>
  <c r="P33" i="58"/>
  <c r="O33" i="58"/>
  <c r="N33" i="58"/>
  <c r="M33" i="58"/>
  <c r="S32" i="58"/>
  <c r="R32" i="58"/>
  <c r="Q32" i="58"/>
  <c r="P32" i="58"/>
  <c r="O32" i="58"/>
  <c r="N32" i="58"/>
  <c r="M32" i="58"/>
  <c r="T31" i="58"/>
  <c r="S31" i="58"/>
  <c r="R31" i="58"/>
  <c r="Q31" i="58"/>
  <c r="P31" i="58"/>
  <c r="O31" i="58"/>
  <c r="N31" i="58"/>
  <c r="M31" i="58"/>
  <c r="U31" i="58" s="1"/>
  <c r="T30" i="58"/>
  <c r="S30" i="58"/>
  <c r="R30" i="58"/>
  <c r="Q30" i="58"/>
  <c r="P30" i="58"/>
  <c r="O30" i="58"/>
  <c r="N30" i="58"/>
  <c r="M30" i="58"/>
  <c r="S29" i="58"/>
  <c r="R29" i="58"/>
  <c r="Q29" i="58"/>
  <c r="P29" i="58"/>
  <c r="O29" i="58"/>
  <c r="N29" i="58"/>
  <c r="M29" i="58"/>
  <c r="S27" i="58"/>
  <c r="R27" i="58"/>
  <c r="Q27" i="58"/>
  <c r="P27" i="58"/>
  <c r="O27" i="58"/>
  <c r="N27" i="58"/>
  <c r="M27" i="58"/>
  <c r="S26" i="58"/>
  <c r="R26" i="58"/>
  <c r="Q26" i="58"/>
  <c r="P26" i="58"/>
  <c r="O26" i="58"/>
  <c r="N26" i="58"/>
  <c r="M26" i="58"/>
  <c r="S25" i="58"/>
  <c r="R25" i="58"/>
  <c r="Q25" i="58"/>
  <c r="P25" i="58"/>
  <c r="O25" i="58"/>
  <c r="N25" i="58"/>
  <c r="M25" i="58"/>
  <c r="S24" i="58"/>
  <c r="R24" i="58"/>
  <c r="Q24" i="58"/>
  <c r="P24" i="58"/>
  <c r="O24" i="58"/>
  <c r="N24" i="58"/>
  <c r="M24" i="58"/>
  <c r="S22" i="58"/>
  <c r="R22" i="58"/>
  <c r="Q22" i="58"/>
  <c r="P22" i="58"/>
  <c r="O22" i="58"/>
  <c r="N22" i="58"/>
  <c r="M22" i="58"/>
  <c r="S8" i="58"/>
  <c r="R8" i="58"/>
  <c r="Q8" i="58"/>
  <c r="P8" i="58"/>
  <c r="O8" i="58"/>
  <c r="N8" i="58"/>
  <c r="N17" i="58" s="1"/>
  <c r="M8" i="58"/>
  <c r="T38" i="58"/>
  <c r="S38" i="58"/>
  <c r="R38" i="58"/>
  <c r="Q38" i="58"/>
  <c r="P38" i="58"/>
  <c r="O38" i="58"/>
  <c r="N38" i="58"/>
  <c r="M38" i="58"/>
  <c r="S34" i="58"/>
  <c r="R34" i="58"/>
  <c r="Q34" i="58"/>
  <c r="P34" i="58"/>
  <c r="O34" i="58"/>
  <c r="N34" i="58"/>
  <c r="M34" i="58"/>
  <c r="T12" i="58"/>
  <c r="S12" i="58"/>
  <c r="S17" i="58" s="1"/>
  <c r="R12" i="58"/>
  <c r="Q12" i="58"/>
  <c r="P12" i="58"/>
  <c r="O12" i="58"/>
  <c r="N12" i="58"/>
  <c r="M12" i="58"/>
  <c r="K42" i="58"/>
  <c r="J42" i="58"/>
  <c r="I42" i="58"/>
  <c r="G42" i="58"/>
  <c r="F42" i="58"/>
  <c r="E42" i="58"/>
  <c r="D42" i="58"/>
  <c r="C42" i="58"/>
  <c r="H40" i="58"/>
  <c r="H39" i="58"/>
  <c r="U38" i="58"/>
  <c r="H38" i="58"/>
  <c r="H37" i="58"/>
  <c r="H36" i="58"/>
  <c r="S35" i="58"/>
  <c r="R35" i="58"/>
  <c r="Q35" i="58"/>
  <c r="P35" i="58"/>
  <c r="O35" i="58"/>
  <c r="H35" i="58"/>
  <c r="H34" i="58"/>
  <c r="H33" i="58"/>
  <c r="H32" i="58"/>
  <c r="H31" i="58"/>
  <c r="H30" i="58"/>
  <c r="H29" i="58"/>
  <c r="S28" i="58"/>
  <c r="R28" i="58"/>
  <c r="Q28" i="58"/>
  <c r="P28" i="58"/>
  <c r="O28" i="58"/>
  <c r="H28" i="58"/>
  <c r="H27" i="58"/>
  <c r="H26" i="58"/>
  <c r="U25" i="58"/>
  <c r="H25" i="58"/>
  <c r="H24" i="58"/>
  <c r="S23" i="58"/>
  <c r="R23" i="58"/>
  <c r="Q23" i="58"/>
  <c r="P23" i="58"/>
  <c r="O23" i="58"/>
  <c r="H23" i="58"/>
  <c r="H22" i="58"/>
  <c r="K17" i="58"/>
  <c r="J17" i="58"/>
  <c r="I17" i="58"/>
  <c r="F17" i="58"/>
  <c r="D17" i="58"/>
  <c r="C17" i="58"/>
  <c r="U16" i="58"/>
  <c r="H16" i="58"/>
  <c r="V16" i="58" s="1"/>
  <c r="U15" i="58"/>
  <c r="H15" i="58"/>
  <c r="U14" i="58"/>
  <c r="H14" i="58"/>
  <c r="U13" i="58"/>
  <c r="H13" i="58"/>
  <c r="H12" i="58"/>
  <c r="U11" i="58"/>
  <c r="V11" i="58" s="1"/>
  <c r="H11" i="58"/>
  <c r="U10" i="58"/>
  <c r="H10" i="58"/>
  <c r="H9" i="58"/>
  <c r="H8" i="58"/>
  <c r="U42" i="61" l="1"/>
  <c r="V42" i="61"/>
  <c r="V9" i="61"/>
  <c r="V17" i="61" s="1"/>
  <c r="U12" i="58"/>
  <c r="V12" i="58" s="1"/>
  <c r="U33" i="59"/>
  <c r="U36" i="59"/>
  <c r="V36" i="59" s="1"/>
  <c r="U40" i="59"/>
  <c r="U12" i="60"/>
  <c r="U31" i="60"/>
  <c r="U32" i="60"/>
  <c r="U28" i="58"/>
  <c r="V28" i="58" s="1"/>
  <c r="R17" i="58"/>
  <c r="V14" i="59"/>
  <c r="V15" i="59"/>
  <c r="U35" i="59"/>
  <c r="V35" i="59" s="1"/>
  <c r="U8" i="59"/>
  <c r="V8" i="59" s="1"/>
  <c r="P17" i="59"/>
  <c r="T17" i="59"/>
  <c r="U12" i="59"/>
  <c r="U31" i="59"/>
  <c r="H17" i="60"/>
  <c r="V10" i="60"/>
  <c r="R17" i="60"/>
  <c r="U27" i="60"/>
  <c r="V27" i="60" s="1"/>
  <c r="U30" i="60"/>
  <c r="U37" i="60"/>
  <c r="V37" i="60" s="1"/>
  <c r="U40" i="60"/>
  <c r="T42" i="60"/>
  <c r="V36" i="60"/>
  <c r="U33" i="60"/>
  <c r="V33" i="60" s="1"/>
  <c r="S42" i="60"/>
  <c r="V32" i="60"/>
  <c r="R42" i="60"/>
  <c r="U29" i="60"/>
  <c r="V29" i="60" s="1"/>
  <c r="U26" i="60"/>
  <c r="P42" i="60"/>
  <c r="U25" i="60"/>
  <c r="V25" i="60" s="1"/>
  <c r="Q42" i="60"/>
  <c r="V14" i="60"/>
  <c r="Q17" i="60"/>
  <c r="U9" i="60"/>
  <c r="V31" i="60"/>
  <c r="V39" i="60"/>
  <c r="V30" i="60"/>
  <c r="V12" i="60"/>
  <c r="V15" i="60"/>
  <c r="V26" i="60"/>
  <c r="V38" i="60"/>
  <c r="V40" i="60"/>
  <c r="V34" i="60"/>
  <c r="U24" i="60"/>
  <c r="V24" i="60" s="1"/>
  <c r="O42" i="60"/>
  <c r="V9" i="60"/>
  <c r="H42" i="60"/>
  <c r="U8" i="60"/>
  <c r="U17" i="60" s="1"/>
  <c r="U22" i="60"/>
  <c r="V40" i="59"/>
  <c r="V39" i="59"/>
  <c r="U37" i="59"/>
  <c r="V37" i="59" s="1"/>
  <c r="V33" i="59"/>
  <c r="U32" i="59"/>
  <c r="T42" i="59"/>
  <c r="V31" i="59"/>
  <c r="U27" i="59"/>
  <c r="V27" i="59" s="1"/>
  <c r="O42" i="59"/>
  <c r="S42" i="59"/>
  <c r="V25" i="59"/>
  <c r="R42" i="59"/>
  <c r="Q42" i="59"/>
  <c r="U34" i="59"/>
  <c r="N42" i="59"/>
  <c r="U30" i="59"/>
  <c r="V30" i="59" s="1"/>
  <c r="P42" i="59"/>
  <c r="U9" i="59"/>
  <c r="U17" i="59" s="1"/>
  <c r="R17" i="59"/>
  <c r="Q17" i="59"/>
  <c r="V12" i="59"/>
  <c r="V26" i="59"/>
  <c r="V29" i="59"/>
  <c r="V32" i="59"/>
  <c r="V28" i="59"/>
  <c r="V34" i="59"/>
  <c r="V23" i="59"/>
  <c r="U24" i="59"/>
  <c r="V24" i="59" s="1"/>
  <c r="H42" i="59"/>
  <c r="N17" i="59"/>
  <c r="U22" i="59"/>
  <c r="U40" i="58"/>
  <c r="P42" i="58"/>
  <c r="V13" i="58"/>
  <c r="L42" i="58"/>
  <c r="T42" i="58"/>
  <c r="O42" i="58"/>
  <c r="S42" i="58"/>
  <c r="V31" i="58"/>
  <c r="V15" i="58"/>
  <c r="M42" i="58"/>
  <c r="U29" i="58"/>
  <c r="V29" i="58" s="1"/>
  <c r="U32" i="58"/>
  <c r="V32" i="58" s="1"/>
  <c r="U35" i="58"/>
  <c r="V35" i="58" s="1"/>
  <c r="V10" i="58"/>
  <c r="N42" i="58"/>
  <c r="R42" i="58"/>
  <c r="U23" i="58"/>
  <c r="V23" i="58" s="1"/>
  <c r="U27" i="58"/>
  <c r="V27" i="58" s="1"/>
  <c r="U30" i="58"/>
  <c r="V30" i="58" s="1"/>
  <c r="U33" i="58"/>
  <c r="V33" i="58" s="1"/>
  <c r="U36" i="58"/>
  <c r="V36" i="58" s="1"/>
  <c r="U39" i="58"/>
  <c r="V39" i="58" s="1"/>
  <c r="T17" i="58"/>
  <c r="O17" i="58"/>
  <c r="Q42" i="58"/>
  <c r="U26" i="58"/>
  <c r="V26" i="58" s="1"/>
  <c r="U24" i="58"/>
  <c r="V24" i="58" s="1"/>
  <c r="V25" i="58"/>
  <c r="U34" i="58"/>
  <c r="V34" i="58" s="1"/>
  <c r="U37" i="58"/>
  <c r="V37" i="58" s="1"/>
  <c r="V38" i="58"/>
  <c r="V40" i="58"/>
  <c r="V14" i="58"/>
  <c r="M17" i="58"/>
  <c r="Q17" i="58"/>
  <c r="U8" i="58"/>
  <c r="V8" i="58" s="1"/>
  <c r="P17" i="58"/>
  <c r="U9" i="58"/>
  <c r="V9" i="58" s="1"/>
  <c r="H17" i="58"/>
  <c r="L17" i="58"/>
  <c r="U22" i="58"/>
  <c r="H42" i="58"/>
  <c r="T40" i="57"/>
  <c r="S40" i="57"/>
  <c r="R40" i="57"/>
  <c r="Q40" i="57"/>
  <c r="P40" i="57"/>
  <c r="O40" i="57"/>
  <c r="N40" i="57"/>
  <c r="M40" i="57"/>
  <c r="L40" i="57"/>
  <c r="T39" i="57"/>
  <c r="S39" i="57"/>
  <c r="R39" i="57"/>
  <c r="Q39" i="57"/>
  <c r="P39" i="57"/>
  <c r="O39" i="57"/>
  <c r="N39" i="57"/>
  <c r="M39" i="57"/>
  <c r="L39" i="57"/>
  <c r="T38" i="57"/>
  <c r="S38" i="57"/>
  <c r="R38" i="57"/>
  <c r="Q38" i="57"/>
  <c r="P38" i="57"/>
  <c r="O38" i="57"/>
  <c r="N38" i="57"/>
  <c r="M38" i="57"/>
  <c r="L38" i="57"/>
  <c r="S37" i="57"/>
  <c r="R37" i="57"/>
  <c r="Q37" i="57"/>
  <c r="P37" i="57"/>
  <c r="O37" i="57"/>
  <c r="N37" i="57"/>
  <c r="M37" i="57"/>
  <c r="L37" i="57"/>
  <c r="S36" i="57"/>
  <c r="R36" i="57"/>
  <c r="Q36" i="57"/>
  <c r="P36" i="57"/>
  <c r="O36" i="57"/>
  <c r="N36" i="57"/>
  <c r="M36" i="57"/>
  <c r="L36" i="57"/>
  <c r="S35" i="57"/>
  <c r="R35" i="57"/>
  <c r="Q35" i="57"/>
  <c r="P35" i="57"/>
  <c r="O35" i="57"/>
  <c r="S34" i="57"/>
  <c r="R34" i="57"/>
  <c r="Q34" i="57"/>
  <c r="P34" i="57"/>
  <c r="O34" i="57"/>
  <c r="N34" i="57"/>
  <c r="M34" i="57"/>
  <c r="L34" i="57"/>
  <c r="S33" i="57"/>
  <c r="R33" i="57"/>
  <c r="Q33" i="57"/>
  <c r="P33" i="57"/>
  <c r="O33" i="57"/>
  <c r="N33" i="57"/>
  <c r="M33" i="57"/>
  <c r="L33" i="57"/>
  <c r="S32" i="57"/>
  <c r="R32" i="57"/>
  <c r="Q32" i="57"/>
  <c r="P32" i="57"/>
  <c r="O32" i="57"/>
  <c r="N32" i="57"/>
  <c r="M32" i="57"/>
  <c r="L32" i="57"/>
  <c r="L30" i="57"/>
  <c r="T31" i="57"/>
  <c r="S31" i="57"/>
  <c r="R31" i="57"/>
  <c r="Q31" i="57"/>
  <c r="P31" i="57"/>
  <c r="O31" i="57"/>
  <c r="N31" i="57"/>
  <c r="M31" i="57"/>
  <c r="L31" i="57"/>
  <c r="T30" i="57"/>
  <c r="S30" i="57"/>
  <c r="R30" i="57"/>
  <c r="Q30" i="57"/>
  <c r="P30" i="57"/>
  <c r="O30" i="57"/>
  <c r="N30" i="57"/>
  <c r="M30" i="57"/>
  <c r="U30" i="57" s="1"/>
  <c r="S29" i="57"/>
  <c r="R29" i="57"/>
  <c r="Q29" i="57"/>
  <c r="P29" i="57"/>
  <c r="O29" i="57"/>
  <c r="N29" i="57"/>
  <c r="M29" i="57"/>
  <c r="L29" i="57"/>
  <c r="U29" i="57" s="1"/>
  <c r="V29" i="57" s="1"/>
  <c r="S27" i="57"/>
  <c r="R27" i="57"/>
  <c r="Q27" i="57"/>
  <c r="P27" i="57"/>
  <c r="O27" i="57"/>
  <c r="N27" i="57"/>
  <c r="M27" i="57"/>
  <c r="L27" i="57"/>
  <c r="S26" i="57"/>
  <c r="R26" i="57"/>
  <c r="Q26" i="57"/>
  <c r="P26" i="57"/>
  <c r="O26" i="57"/>
  <c r="N26" i="57"/>
  <c r="M26" i="57"/>
  <c r="L26" i="57"/>
  <c r="S25" i="57"/>
  <c r="R25" i="57"/>
  <c r="Q25" i="57"/>
  <c r="P25" i="57"/>
  <c r="O25" i="57"/>
  <c r="N25" i="57"/>
  <c r="M25" i="57"/>
  <c r="L25" i="57"/>
  <c r="S24" i="57"/>
  <c r="R24" i="57"/>
  <c r="Q24" i="57"/>
  <c r="P24" i="57"/>
  <c r="O24" i="57"/>
  <c r="N24" i="57"/>
  <c r="M24" i="57"/>
  <c r="L24" i="57"/>
  <c r="S22" i="57"/>
  <c r="R22" i="57"/>
  <c r="Q22" i="57"/>
  <c r="P22" i="57"/>
  <c r="O22" i="57"/>
  <c r="N22" i="57"/>
  <c r="M22" i="57"/>
  <c r="L22" i="57"/>
  <c r="L42" i="57" s="1"/>
  <c r="T12" i="57"/>
  <c r="S12" i="57"/>
  <c r="S17" i="57" s="1"/>
  <c r="R12" i="57"/>
  <c r="Q12" i="57"/>
  <c r="P12" i="57"/>
  <c r="O12" i="57"/>
  <c r="N12" i="57"/>
  <c r="M12" i="57"/>
  <c r="U12" i="57" s="1"/>
  <c r="L12" i="57"/>
  <c r="S8" i="57"/>
  <c r="R8" i="57"/>
  <c r="R17" i="57" s="1"/>
  <c r="Q8" i="57"/>
  <c r="P8" i="57"/>
  <c r="O8" i="57"/>
  <c r="N8" i="57"/>
  <c r="N17" i="57" s="1"/>
  <c r="M8" i="57"/>
  <c r="L8" i="57"/>
  <c r="J42" i="57"/>
  <c r="I42" i="57"/>
  <c r="G42" i="57"/>
  <c r="F42" i="57"/>
  <c r="E42" i="57"/>
  <c r="D42" i="57"/>
  <c r="C42" i="57"/>
  <c r="U40" i="57"/>
  <c r="H40" i="57"/>
  <c r="U39" i="57"/>
  <c r="H39" i="57"/>
  <c r="U38" i="57"/>
  <c r="H38" i="57"/>
  <c r="U37" i="57"/>
  <c r="V37" i="57" s="1"/>
  <c r="H37" i="57"/>
  <c r="U36" i="57"/>
  <c r="V36" i="57" s="1"/>
  <c r="H36" i="57"/>
  <c r="U35" i="57"/>
  <c r="V35" i="57" s="1"/>
  <c r="H35" i="57"/>
  <c r="H34" i="57"/>
  <c r="H33" i="57"/>
  <c r="H32" i="57"/>
  <c r="H31" i="57"/>
  <c r="T42" i="57"/>
  <c r="H30" i="57"/>
  <c r="H29" i="57"/>
  <c r="S28" i="57"/>
  <c r="R28" i="57"/>
  <c r="Q28" i="57"/>
  <c r="P28" i="57"/>
  <c r="O28" i="57"/>
  <c r="H28" i="57"/>
  <c r="H27" i="57"/>
  <c r="H26" i="57"/>
  <c r="H25" i="57"/>
  <c r="H24" i="57"/>
  <c r="S23" i="57"/>
  <c r="R23" i="57"/>
  <c r="Q23" i="57"/>
  <c r="P23" i="57"/>
  <c r="O23" i="57"/>
  <c r="H23" i="57"/>
  <c r="H22" i="57"/>
  <c r="H42" i="57" s="1"/>
  <c r="J17" i="57"/>
  <c r="I17" i="57"/>
  <c r="F17" i="57"/>
  <c r="D17" i="57"/>
  <c r="C17" i="57"/>
  <c r="U16" i="57"/>
  <c r="H16" i="57"/>
  <c r="U15" i="57"/>
  <c r="H15" i="57"/>
  <c r="U14" i="57"/>
  <c r="H14" i="57"/>
  <c r="U13" i="57"/>
  <c r="H13" i="57"/>
  <c r="T17" i="57"/>
  <c r="P17" i="57"/>
  <c r="L17" i="57"/>
  <c r="H12" i="57"/>
  <c r="U11" i="57"/>
  <c r="H11" i="57"/>
  <c r="U10" i="57"/>
  <c r="H10" i="57"/>
  <c r="U9" i="57"/>
  <c r="H9" i="57"/>
  <c r="O17" i="57"/>
  <c r="K17" i="57"/>
  <c r="H8" i="57"/>
  <c r="T40" i="56"/>
  <c r="S40" i="56"/>
  <c r="R40" i="56"/>
  <c r="Q40" i="56"/>
  <c r="P40" i="56"/>
  <c r="O40" i="56"/>
  <c r="N40" i="56"/>
  <c r="M40" i="56"/>
  <c r="L40" i="56"/>
  <c r="T39" i="56"/>
  <c r="S39" i="56"/>
  <c r="R39" i="56"/>
  <c r="Q39" i="56"/>
  <c r="P39" i="56"/>
  <c r="O39" i="56"/>
  <c r="N39" i="56"/>
  <c r="M39" i="56"/>
  <c r="L39" i="56"/>
  <c r="T38" i="56"/>
  <c r="S38" i="56"/>
  <c r="R38" i="56"/>
  <c r="Q38" i="56"/>
  <c r="P38" i="56"/>
  <c r="O38" i="56"/>
  <c r="N38" i="56"/>
  <c r="M38" i="56"/>
  <c r="L38" i="56"/>
  <c r="S37" i="56"/>
  <c r="R37" i="56"/>
  <c r="Q37" i="56"/>
  <c r="P37" i="56"/>
  <c r="O37" i="56"/>
  <c r="N37" i="56"/>
  <c r="M37" i="56"/>
  <c r="U37" i="56" s="1"/>
  <c r="L37" i="56"/>
  <c r="S36" i="56"/>
  <c r="R36" i="56"/>
  <c r="Q36" i="56"/>
  <c r="P36" i="56"/>
  <c r="O36" i="56"/>
  <c r="N36" i="56"/>
  <c r="M36" i="56"/>
  <c r="L36" i="56"/>
  <c r="S35" i="56"/>
  <c r="R35" i="56"/>
  <c r="Q35" i="56"/>
  <c r="P35" i="56"/>
  <c r="O35" i="56"/>
  <c r="N35" i="56"/>
  <c r="M35" i="56"/>
  <c r="U35" i="56" s="1"/>
  <c r="L35" i="56"/>
  <c r="S34" i="56"/>
  <c r="R34" i="56"/>
  <c r="Q34" i="56"/>
  <c r="P34" i="56"/>
  <c r="O34" i="56"/>
  <c r="N34" i="56"/>
  <c r="M34" i="56"/>
  <c r="L34" i="56"/>
  <c r="S33" i="56"/>
  <c r="R33" i="56"/>
  <c r="Q33" i="56"/>
  <c r="P33" i="56"/>
  <c r="O33" i="56"/>
  <c r="N33" i="56"/>
  <c r="M33" i="56"/>
  <c r="U33" i="56" s="1"/>
  <c r="L33" i="56"/>
  <c r="S32" i="56"/>
  <c r="R32" i="56"/>
  <c r="Q32" i="56"/>
  <c r="P32" i="56"/>
  <c r="O32" i="56"/>
  <c r="N32" i="56"/>
  <c r="M32" i="56"/>
  <c r="L32" i="56"/>
  <c r="T31" i="56"/>
  <c r="S31" i="56"/>
  <c r="R31" i="56"/>
  <c r="Q31" i="56"/>
  <c r="P31" i="56"/>
  <c r="O31" i="56"/>
  <c r="N31" i="56"/>
  <c r="M31" i="56"/>
  <c r="L31" i="56"/>
  <c r="K31" i="56"/>
  <c r="T30" i="56"/>
  <c r="S30" i="56"/>
  <c r="R30" i="56"/>
  <c r="Q30" i="56"/>
  <c r="P30" i="56"/>
  <c r="O30" i="56"/>
  <c r="N30" i="56"/>
  <c r="M30" i="56"/>
  <c r="L30" i="56"/>
  <c r="U30" i="56" s="1"/>
  <c r="K30" i="56"/>
  <c r="S29" i="56"/>
  <c r="R29" i="56"/>
  <c r="Q29" i="56"/>
  <c r="P29" i="56"/>
  <c r="O29" i="56"/>
  <c r="N29" i="56"/>
  <c r="M29" i="56"/>
  <c r="U29" i="56" s="1"/>
  <c r="L29" i="56"/>
  <c r="S27" i="56"/>
  <c r="R27" i="56"/>
  <c r="Q27" i="56"/>
  <c r="P27" i="56"/>
  <c r="O27" i="56"/>
  <c r="N27" i="56"/>
  <c r="M27" i="56"/>
  <c r="L27" i="56"/>
  <c r="K27" i="56"/>
  <c r="U27" i="56" s="1"/>
  <c r="S26" i="56"/>
  <c r="R26" i="56"/>
  <c r="Q26" i="56"/>
  <c r="P26" i="56"/>
  <c r="O26" i="56"/>
  <c r="N26" i="56"/>
  <c r="M26" i="56"/>
  <c r="L26" i="56"/>
  <c r="S25" i="56"/>
  <c r="R25" i="56"/>
  <c r="Q25" i="56"/>
  <c r="P25" i="56"/>
  <c r="O25" i="56"/>
  <c r="N25" i="56"/>
  <c r="M25" i="56"/>
  <c r="L25" i="56"/>
  <c r="S24" i="56"/>
  <c r="R24" i="56"/>
  <c r="Q24" i="56"/>
  <c r="P24" i="56"/>
  <c r="O24" i="56"/>
  <c r="N24" i="56"/>
  <c r="M24" i="56"/>
  <c r="L24" i="56"/>
  <c r="S22" i="56"/>
  <c r="R22" i="56"/>
  <c r="Q22" i="56"/>
  <c r="P22" i="56"/>
  <c r="O22" i="56"/>
  <c r="N22" i="56"/>
  <c r="M22" i="56"/>
  <c r="L22" i="56"/>
  <c r="K40" i="56"/>
  <c r="K39" i="56"/>
  <c r="K38" i="56"/>
  <c r="U38" i="56" s="1"/>
  <c r="K37" i="56"/>
  <c r="K36" i="56"/>
  <c r="U36" i="56" s="1"/>
  <c r="K35" i="56"/>
  <c r="K34" i="56"/>
  <c r="U34" i="56" s="1"/>
  <c r="K33" i="56"/>
  <c r="K32" i="56"/>
  <c r="U32" i="56" s="1"/>
  <c r="K29" i="56"/>
  <c r="S28" i="56"/>
  <c r="R28" i="56"/>
  <c r="Q28" i="56"/>
  <c r="P28" i="56"/>
  <c r="O28" i="56"/>
  <c r="U28" i="56" s="1"/>
  <c r="K26" i="56"/>
  <c r="K25" i="56"/>
  <c r="U25" i="56" s="1"/>
  <c r="K24" i="56"/>
  <c r="K22" i="56"/>
  <c r="K42" i="56" s="1"/>
  <c r="T12" i="56"/>
  <c r="S12" i="56"/>
  <c r="R12" i="56"/>
  <c r="Q12" i="56"/>
  <c r="P12" i="56"/>
  <c r="O12" i="56"/>
  <c r="N12" i="56"/>
  <c r="M12" i="56"/>
  <c r="L12" i="56"/>
  <c r="K12" i="56"/>
  <c r="S17" i="56"/>
  <c r="O17" i="56"/>
  <c r="K17" i="56"/>
  <c r="S8" i="56"/>
  <c r="R8" i="56"/>
  <c r="R17" i="56" s="1"/>
  <c r="Q8" i="56"/>
  <c r="P8" i="56"/>
  <c r="O8" i="56"/>
  <c r="N8" i="56"/>
  <c r="N17" i="56" s="1"/>
  <c r="M8" i="56"/>
  <c r="L8" i="56"/>
  <c r="U8" i="56" s="1"/>
  <c r="K8" i="56"/>
  <c r="I42" i="56"/>
  <c r="G42" i="56"/>
  <c r="F42" i="56"/>
  <c r="E42" i="56"/>
  <c r="D42" i="56"/>
  <c r="C42" i="56"/>
  <c r="U40" i="56"/>
  <c r="H40" i="56"/>
  <c r="H39" i="56"/>
  <c r="H38" i="56"/>
  <c r="H37" i="56"/>
  <c r="H36" i="56"/>
  <c r="H35" i="56"/>
  <c r="H34" i="56"/>
  <c r="H33" i="56"/>
  <c r="H32" i="56"/>
  <c r="H31" i="56"/>
  <c r="T42" i="56"/>
  <c r="H30" i="56"/>
  <c r="H29" i="56"/>
  <c r="H28" i="56"/>
  <c r="H27" i="56"/>
  <c r="H26" i="56"/>
  <c r="H25" i="56"/>
  <c r="U24" i="56"/>
  <c r="H24" i="56"/>
  <c r="S23" i="56"/>
  <c r="R23" i="56"/>
  <c r="Q23" i="56"/>
  <c r="P23" i="56"/>
  <c r="O23" i="56"/>
  <c r="H23" i="56"/>
  <c r="J42" i="56"/>
  <c r="H22" i="56"/>
  <c r="I17" i="56"/>
  <c r="F17" i="56"/>
  <c r="D17" i="56"/>
  <c r="C17" i="56"/>
  <c r="U16" i="56"/>
  <c r="H16" i="56"/>
  <c r="U15" i="56"/>
  <c r="H15" i="56"/>
  <c r="U14" i="56"/>
  <c r="H14" i="56"/>
  <c r="U13" i="56"/>
  <c r="H13" i="56"/>
  <c r="U12" i="56"/>
  <c r="V12" i="56" s="1"/>
  <c r="H12" i="56"/>
  <c r="U11" i="56"/>
  <c r="H11" i="56"/>
  <c r="U10" i="56"/>
  <c r="H10" i="56"/>
  <c r="T17" i="56"/>
  <c r="P17" i="56"/>
  <c r="L17" i="56"/>
  <c r="H9" i="56"/>
  <c r="Q17" i="56"/>
  <c r="H8" i="56"/>
  <c r="H17" i="56" s="1"/>
  <c r="T40" i="55"/>
  <c r="S40" i="55"/>
  <c r="R40" i="55"/>
  <c r="Q40" i="55"/>
  <c r="P40" i="55"/>
  <c r="O40" i="55"/>
  <c r="N40" i="55"/>
  <c r="M40" i="55"/>
  <c r="L40" i="55"/>
  <c r="K40" i="55"/>
  <c r="U40" i="55" s="1"/>
  <c r="J40" i="55"/>
  <c r="T39" i="55"/>
  <c r="S39" i="55"/>
  <c r="R39" i="55"/>
  <c r="Q39" i="55"/>
  <c r="P39" i="55"/>
  <c r="O39" i="55"/>
  <c r="N39" i="55"/>
  <c r="M39" i="55"/>
  <c r="L39" i="55"/>
  <c r="K39" i="55"/>
  <c r="J39" i="55"/>
  <c r="T30" i="55"/>
  <c r="S30" i="55"/>
  <c r="R30" i="55"/>
  <c r="Q30" i="55"/>
  <c r="P30" i="55"/>
  <c r="O30" i="55"/>
  <c r="N30" i="55"/>
  <c r="M30" i="55"/>
  <c r="L30" i="55"/>
  <c r="K30" i="55"/>
  <c r="J30" i="55"/>
  <c r="T38" i="55"/>
  <c r="T42" i="55" s="1"/>
  <c r="S38" i="55"/>
  <c r="R38" i="55"/>
  <c r="Q38" i="55"/>
  <c r="P38" i="55"/>
  <c r="O38" i="55"/>
  <c r="N38" i="55"/>
  <c r="M38" i="55"/>
  <c r="L38" i="55"/>
  <c r="K38" i="55"/>
  <c r="J38" i="55"/>
  <c r="S34" i="55"/>
  <c r="R34" i="55"/>
  <c r="Q34" i="55"/>
  <c r="P34" i="55"/>
  <c r="O34" i="55"/>
  <c r="N34" i="55"/>
  <c r="M34" i="55"/>
  <c r="L34" i="55"/>
  <c r="K34" i="55"/>
  <c r="J34" i="55"/>
  <c r="T31" i="55"/>
  <c r="S31" i="55"/>
  <c r="R31" i="55"/>
  <c r="Q31" i="55"/>
  <c r="P31" i="55"/>
  <c r="O31" i="55"/>
  <c r="N31" i="55"/>
  <c r="M31" i="55"/>
  <c r="L31" i="55"/>
  <c r="K31" i="55"/>
  <c r="J31" i="55"/>
  <c r="S24" i="55"/>
  <c r="R24" i="55"/>
  <c r="Q24" i="55"/>
  <c r="P24" i="55"/>
  <c r="O24" i="55"/>
  <c r="N24" i="55"/>
  <c r="M24" i="55"/>
  <c r="L24" i="55"/>
  <c r="K24" i="55"/>
  <c r="J24" i="55"/>
  <c r="S23" i="55"/>
  <c r="R23" i="55"/>
  <c r="Q23" i="55"/>
  <c r="P23" i="55"/>
  <c r="O23" i="55"/>
  <c r="S22" i="55"/>
  <c r="R22" i="55"/>
  <c r="Q22" i="55"/>
  <c r="P22" i="55"/>
  <c r="O22" i="55"/>
  <c r="N22" i="55"/>
  <c r="M22" i="55"/>
  <c r="L22" i="55"/>
  <c r="K22" i="55"/>
  <c r="J22" i="55"/>
  <c r="J42" i="55" s="1"/>
  <c r="T12" i="55"/>
  <c r="S12" i="55"/>
  <c r="R12" i="55"/>
  <c r="Q12" i="55"/>
  <c r="P12" i="55"/>
  <c r="O12" i="55"/>
  <c r="N12" i="55"/>
  <c r="M12" i="55"/>
  <c r="L12" i="55"/>
  <c r="K12" i="55"/>
  <c r="U12" i="55" s="1"/>
  <c r="J12" i="55"/>
  <c r="T9" i="55"/>
  <c r="S9" i="55"/>
  <c r="R9" i="55"/>
  <c r="Q9" i="55"/>
  <c r="P9" i="55"/>
  <c r="O9" i="55"/>
  <c r="N9" i="55"/>
  <c r="M9" i="55"/>
  <c r="L9" i="55"/>
  <c r="K9" i="55"/>
  <c r="J9" i="55"/>
  <c r="H34" i="55"/>
  <c r="U31" i="55"/>
  <c r="H31" i="55"/>
  <c r="U24" i="55"/>
  <c r="H24" i="55"/>
  <c r="U23" i="55"/>
  <c r="V23" i="55" s="1"/>
  <c r="H23" i="55"/>
  <c r="G42" i="55"/>
  <c r="F42" i="55"/>
  <c r="E42" i="55"/>
  <c r="D42" i="55"/>
  <c r="C42" i="55"/>
  <c r="H40" i="55"/>
  <c r="H39" i="55"/>
  <c r="H38" i="55"/>
  <c r="S37" i="55"/>
  <c r="R37" i="55"/>
  <c r="Q37" i="55"/>
  <c r="P37" i="55"/>
  <c r="O37" i="55"/>
  <c r="N37" i="55"/>
  <c r="M37" i="55"/>
  <c r="L37" i="55"/>
  <c r="K37" i="55"/>
  <c r="J37" i="55"/>
  <c r="H37" i="55"/>
  <c r="S36" i="55"/>
  <c r="R36" i="55"/>
  <c r="Q36" i="55"/>
  <c r="P36" i="55"/>
  <c r="O36" i="55"/>
  <c r="N36" i="55"/>
  <c r="M36" i="55"/>
  <c r="L36" i="55"/>
  <c r="K36" i="55"/>
  <c r="J36" i="55"/>
  <c r="U36" i="55" s="1"/>
  <c r="H36" i="55"/>
  <c r="S35" i="55"/>
  <c r="R35" i="55"/>
  <c r="Q35" i="55"/>
  <c r="P35" i="55"/>
  <c r="O35" i="55"/>
  <c r="N35" i="55"/>
  <c r="M35" i="55"/>
  <c r="L35" i="55"/>
  <c r="K35" i="55"/>
  <c r="J35" i="55"/>
  <c r="H35" i="55"/>
  <c r="S33" i="55"/>
  <c r="R33" i="55"/>
  <c r="Q33" i="55"/>
  <c r="P33" i="55"/>
  <c r="O33" i="55"/>
  <c r="N33" i="55"/>
  <c r="M33" i="55"/>
  <c r="L33" i="55"/>
  <c r="K33" i="55"/>
  <c r="J33" i="55"/>
  <c r="U33" i="55" s="1"/>
  <c r="H33" i="55"/>
  <c r="S32" i="55"/>
  <c r="R32" i="55"/>
  <c r="Q32" i="55"/>
  <c r="P32" i="55"/>
  <c r="O32" i="55"/>
  <c r="N32" i="55"/>
  <c r="M32" i="55"/>
  <c r="L32" i="55"/>
  <c r="K32" i="55"/>
  <c r="J32" i="55"/>
  <c r="H32" i="55"/>
  <c r="I42" i="55"/>
  <c r="H30" i="55"/>
  <c r="S29" i="55"/>
  <c r="R29" i="55"/>
  <c r="Q29" i="55"/>
  <c r="P29" i="55"/>
  <c r="O29" i="55"/>
  <c r="N29" i="55"/>
  <c r="M29" i="55"/>
  <c r="L29" i="55"/>
  <c r="K29" i="55"/>
  <c r="J29" i="55"/>
  <c r="H29" i="55"/>
  <c r="S28" i="55"/>
  <c r="R28" i="55"/>
  <c r="Q28" i="55"/>
  <c r="P28" i="55"/>
  <c r="O28" i="55"/>
  <c r="N28" i="55"/>
  <c r="M28" i="55"/>
  <c r="L28" i="55"/>
  <c r="K28" i="55"/>
  <c r="J28" i="55"/>
  <c r="U28" i="55" s="1"/>
  <c r="H28" i="55"/>
  <c r="S27" i="55"/>
  <c r="R27" i="55"/>
  <c r="Q27" i="55"/>
  <c r="P27" i="55"/>
  <c r="O27" i="55"/>
  <c r="N27" i="55"/>
  <c r="M27" i="55"/>
  <c r="L27" i="55"/>
  <c r="K27" i="55"/>
  <c r="J27" i="55"/>
  <c r="H27" i="55"/>
  <c r="S26" i="55"/>
  <c r="R26" i="55"/>
  <c r="Q26" i="55"/>
  <c r="P26" i="55"/>
  <c r="O26" i="55"/>
  <c r="N26" i="55"/>
  <c r="M26" i="55"/>
  <c r="L26" i="55"/>
  <c r="K26" i="55"/>
  <c r="J26" i="55"/>
  <c r="U26" i="55" s="1"/>
  <c r="H26" i="55"/>
  <c r="S25" i="55"/>
  <c r="R25" i="55"/>
  <c r="Q25" i="55"/>
  <c r="P25" i="55"/>
  <c r="O25" i="55"/>
  <c r="N25" i="55"/>
  <c r="M25" i="55"/>
  <c r="L25" i="55"/>
  <c r="K25" i="55"/>
  <c r="J25" i="55"/>
  <c r="H25" i="55"/>
  <c r="H22" i="55"/>
  <c r="F17" i="55"/>
  <c r="D17" i="55"/>
  <c r="C17" i="55"/>
  <c r="U16" i="55"/>
  <c r="H16" i="55"/>
  <c r="U15" i="55"/>
  <c r="H15" i="55"/>
  <c r="U14" i="55"/>
  <c r="H14" i="55"/>
  <c r="U13" i="55"/>
  <c r="H13" i="55"/>
  <c r="T17" i="55"/>
  <c r="H12" i="55"/>
  <c r="U11" i="55"/>
  <c r="H11" i="55"/>
  <c r="U10" i="55"/>
  <c r="H10" i="55"/>
  <c r="I17" i="55"/>
  <c r="H9" i="55"/>
  <c r="S8" i="55"/>
  <c r="R8" i="55"/>
  <c r="R17" i="55" s="1"/>
  <c r="Q8" i="55"/>
  <c r="P8" i="55"/>
  <c r="P17" i="55" s="1"/>
  <c r="O8" i="55"/>
  <c r="N8" i="55"/>
  <c r="N17" i="55" s="1"/>
  <c r="M8" i="55"/>
  <c r="L8" i="55"/>
  <c r="L17" i="55" s="1"/>
  <c r="K8" i="55"/>
  <c r="J8" i="55"/>
  <c r="U8" i="55" s="1"/>
  <c r="H8" i="55"/>
  <c r="T36" i="1"/>
  <c r="S36" i="1"/>
  <c r="R36" i="1"/>
  <c r="Q36" i="1"/>
  <c r="P36" i="1"/>
  <c r="O36" i="1"/>
  <c r="N36" i="1"/>
  <c r="M36" i="1"/>
  <c r="L36" i="1"/>
  <c r="K36" i="1"/>
  <c r="J36" i="1"/>
  <c r="I36" i="1"/>
  <c r="T35" i="1"/>
  <c r="S35" i="1"/>
  <c r="R35" i="1"/>
  <c r="Q35" i="1"/>
  <c r="P35" i="1"/>
  <c r="O35" i="1"/>
  <c r="N35" i="1"/>
  <c r="M35" i="1"/>
  <c r="L35" i="1"/>
  <c r="K35" i="1"/>
  <c r="J35" i="1"/>
  <c r="I35" i="1"/>
  <c r="T34" i="1"/>
  <c r="S34" i="1"/>
  <c r="R34" i="1"/>
  <c r="Q34" i="1"/>
  <c r="P34" i="1"/>
  <c r="O34" i="1"/>
  <c r="N34" i="1"/>
  <c r="M34" i="1"/>
  <c r="L34" i="1"/>
  <c r="K34" i="1"/>
  <c r="J34" i="1"/>
  <c r="I34" i="1"/>
  <c r="S33" i="1"/>
  <c r="R33" i="1"/>
  <c r="Q33" i="1"/>
  <c r="P33" i="1"/>
  <c r="O33" i="1"/>
  <c r="N33" i="1"/>
  <c r="M33" i="1"/>
  <c r="L33" i="1"/>
  <c r="K33" i="1"/>
  <c r="J33" i="1"/>
  <c r="S32" i="1"/>
  <c r="R32" i="1"/>
  <c r="Q32" i="1"/>
  <c r="P32" i="1"/>
  <c r="O32" i="1"/>
  <c r="N32" i="1"/>
  <c r="M32" i="1"/>
  <c r="L32" i="1"/>
  <c r="K32" i="1"/>
  <c r="J32" i="1"/>
  <c r="S31" i="1"/>
  <c r="R31" i="1"/>
  <c r="Q31" i="1"/>
  <c r="P31" i="1"/>
  <c r="O31" i="1"/>
  <c r="N31" i="1"/>
  <c r="M31" i="1"/>
  <c r="L31" i="1"/>
  <c r="K31" i="1"/>
  <c r="J31" i="1"/>
  <c r="S30" i="1"/>
  <c r="R30" i="1"/>
  <c r="Q30" i="1"/>
  <c r="P30" i="1"/>
  <c r="O30" i="1"/>
  <c r="N30" i="1"/>
  <c r="M30" i="1"/>
  <c r="L30" i="1"/>
  <c r="K30" i="1"/>
  <c r="J30" i="1"/>
  <c r="S29" i="1"/>
  <c r="R29" i="1"/>
  <c r="Q29" i="1"/>
  <c r="P29" i="1"/>
  <c r="O29" i="1"/>
  <c r="N29" i="1"/>
  <c r="M29" i="1"/>
  <c r="L29" i="1"/>
  <c r="K29" i="1"/>
  <c r="J29" i="1"/>
  <c r="T28" i="1"/>
  <c r="S28" i="1"/>
  <c r="R28" i="1"/>
  <c r="Q28" i="1"/>
  <c r="P28" i="1"/>
  <c r="O28" i="1"/>
  <c r="N28" i="1"/>
  <c r="M28" i="1"/>
  <c r="L28" i="1"/>
  <c r="K28" i="1"/>
  <c r="J28" i="1"/>
  <c r="I28" i="1"/>
  <c r="S27" i="1"/>
  <c r="R27" i="1"/>
  <c r="Q27" i="1"/>
  <c r="P27" i="1"/>
  <c r="O27" i="1"/>
  <c r="N27" i="1"/>
  <c r="M27" i="1"/>
  <c r="L27" i="1"/>
  <c r="K27" i="1"/>
  <c r="J27" i="1"/>
  <c r="S26" i="1"/>
  <c r="R26" i="1"/>
  <c r="Q26" i="1"/>
  <c r="P26" i="1"/>
  <c r="O26" i="1"/>
  <c r="N26" i="1"/>
  <c r="M26" i="1"/>
  <c r="L26" i="1"/>
  <c r="K26" i="1"/>
  <c r="J26" i="1"/>
  <c r="S25" i="1"/>
  <c r="R25" i="1"/>
  <c r="Q25" i="1"/>
  <c r="P25" i="1"/>
  <c r="O25" i="1"/>
  <c r="N25" i="1"/>
  <c r="M25" i="1"/>
  <c r="L25" i="1"/>
  <c r="K25" i="1"/>
  <c r="J25" i="1"/>
  <c r="S24" i="1"/>
  <c r="R24" i="1"/>
  <c r="Q24" i="1"/>
  <c r="P24" i="1"/>
  <c r="O24" i="1"/>
  <c r="N24" i="1"/>
  <c r="M24" i="1"/>
  <c r="L24" i="1"/>
  <c r="K24" i="1"/>
  <c r="J24" i="1"/>
  <c r="S23" i="1"/>
  <c r="R23" i="1"/>
  <c r="Q23" i="1"/>
  <c r="P23" i="1"/>
  <c r="O23" i="1"/>
  <c r="N23" i="1"/>
  <c r="M23" i="1"/>
  <c r="L23" i="1"/>
  <c r="K23" i="1"/>
  <c r="J23" i="1"/>
  <c r="S22" i="1"/>
  <c r="R22" i="1"/>
  <c r="Q22" i="1"/>
  <c r="P22" i="1"/>
  <c r="O22" i="1"/>
  <c r="N22" i="1"/>
  <c r="M22" i="1"/>
  <c r="L22" i="1"/>
  <c r="K22" i="1"/>
  <c r="J22" i="1"/>
  <c r="T12" i="1"/>
  <c r="S12" i="1"/>
  <c r="R12" i="1"/>
  <c r="Q12" i="1"/>
  <c r="P12" i="1"/>
  <c r="O12" i="1"/>
  <c r="N12" i="1"/>
  <c r="M12" i="1"/>
  <c r="L12" i="1"/>
  <c r="K12" i="1"/>
  <c r="J12" i="1"/>
  <c r="I12" i="1"/>
  <c r="T9" i="1"/>
  <c r="S9" i="1"/>
  <c r="R9" i="1"/>
  <c r="Q9" i="1"/>
  <c r="P9" i="1"/>
  <c r="O9" i="1"/>
  <c r="N9" i="1"/>
  <c r="M9" i="1"/>
  <c r="L9" i="1"/>
  <c r="K9" i="1"/>
  <c r="J9" i="1"/>
  <c r="I9" i="1"/>
  <c r="S8" i="1"/>
  <c r="R8" i="1"/>
  <c r="Q8" i="1"/>
  <c r="P8" i="1"/>
  <c r="O8" i="1"/>
  <c r="N8" i="1"/>
  <c r="M8" i="1"/>
  <c r="L8" i="1"/>
  <c r="K8" i="1"/>
  <c r="J8" i="1"/>
  <c r="V9" i="59" l="1"/>
  <c r="U34" i="55"/>
  <c r="V34" i="55" s="1"/>
  <c r="U9" i="56"/>
  <c r="V9" i="56" s="1"/>
  <c r="M17" i="56"/>
  <c r="U22" i="57"/>
  <c r="U24" i="57"/>
  <c r="V24" i="57" s="1"/>
  <c r="U25" i="57"/>
  <c r="V25" i="57" s="1"/>
  <c r="U26" i="57"/>
  <c r="V26" i="57" s="1"/>
  <c r="U27" i="57"/>
  <c r="V27" i="57" s="1"/>
  <c r="U32" i="57"/>
  <c r="V32" i="57" s="1"/>
  <c r="U33" i="57"/>
  <c r="V33" i="57" s="1"/>
  <c r="U34" i="57"/>
  <c r="V34" i="57" s="1"/>
  <c r="H17" i="55"/>
  <c r="J17" i="55"/>
  <c r="V13" i="55"/>
  <c r="V14" i="55"/>
  <c r="V15" i="55"/>
  <c r="V16" i="55"/>
  <c r="U25" i="55"/>
  <c r="V26" i="55"/>
  <c r="U27" i="55"/>
  <c r="V28" i="55"/>
  <c r="U29" i="55"/>
  <c r="U32" i="55"/>
  <c r="V32" i="55" s="1"/>
  <c r="V33" i="55"/>
  <c r="U35" i="55"/>
  <c r="V36" i="55"/>
  <c r="U37" i="55"/>
  <c r="V37" i="55" s="1"/>
  <c r="R42" i="55"/>
  <c r="N42" i="55"/>
  <c r="U38" i="55"/>
  <c r="U39" i="55"/>
  <c r="H42" i="56"/>
  <c r="V23" i="56"/>
  <c r="U23" i="56"/>
  <c r="U26" i="56"/>
  <c r="U31" i="56"/>
  <c r="U39" i="56"/>
  <c r="H17" i="57"/>
  <c r="V16" i="57"/>
  <c r="U23" i="57"/>
  <c r="V23" i="57" s="1"/>
  <c r="U28" i="57"/>
  <c r="V28" i="57" s="1"/>
  <c r="U31" i="57"/>
  <c r="U42" i="60"/>
  <c r="V22" i="60"/>
  <c r="V42" i="60" s="1"/>
  <c r="V8" i="60"/>
  <c r="V17" i="60" s="1"/>
  <c r="U42" i="59"/>
  <c r="V22" i="59"/>
  <c r="V42" i="59" s="1"/>
  <c r="V17" i="59"/>
  <c r="V17" i="58"/>
  <c r="U17" i="58"/>
  <c r="U42" i="58"/>
  <c r="V22" i="58"/>
  <c r="V42" i="58" s="1"/>
  <c r="O42" i="57"/>
  <c r="S42" i="57"/>
  <c r="Q42" i="57"/>
  <c r="P42" i="57"/>
  <c r="R42" i="57"/>
  <c r="M42" i="57"/>
  <c r="N42" i="57"/>
  <c r="V30" i="57"/>
  <c r="V38" i="57"/>
  <c r="V40" i="57"/>
  <c r="V15" i="57"/>
  <c r="V14" i="57"/>
  <c r="V13" i="57"/>
  <c r="M17" i="57"/>
  <c r="Q17" i="57"/>
  <c r="V11" i="57"/>
  <c r="V12" i="57"/>
  <c r="V9" i="57"/>
  <c r="U42" i="57"/>
  <c r="V22" i="57"/>
  <c r="V31" i="57"/>
  <c r="V39" i="57"/>
  <c r="V10" i="57"/>
  <c r="K42" i="57"/>
  <c r="U8" i="57"/>
  <c r="S42" i="56"/>
  <c r="O42" i="56"/>
  <c r="R42" i="56"/>
  <c r="M42" i="56"/>
  <c r="Q42" i="56"/>
  <c r="L42" i="56"/>
  <c r="P42" i="56"/>
  <c r="N42" i="56"/>
  <c r="V31" i="56"/>
  <c r="V39" i="56"/>
  <c r="V24" i="56"/>
  <c r="V26" i="56"/>
  <c r="V28" i="56"/>
  <c r="V30" i="56"/>
  <c r="V32" i="56"/>
  <c r="V34" i="56"/>
  <c r="V36" i="56"/>
  <c r="V38" i="56"/>
  <c r="V40" i="56"/>
  <c r="V10" i="56"/>
  <c r="V11" i="56"/>
  <c r="V13" i="56"/>
  <c r="V14" i="56"/>
  <c r="V15" i="56"/>
  <c r="V16" i="56"/>
  <c r="V25" i="56"/>
  <c r="V27" i="56"/>
  <c r="V29" i="56"/>
  <c r="V33" i="56"/>
  <c r="V35" i="56"/>
  <c r="V37" i="56"/>
  <c r="V8" i="56"/>
  <c r="J17" i="56"/>
  <c r="U22" i="56"/>
  <c r="V40" i="55"/>
  <c r="V38" i="55"/>
  <c r="K42" i="55"/>
  <c r="M42" i="55"/>
  <c r="O42" i="55"/>
  <c r="Q42" i="55"/>
  <c r="S42" i="55"/>
  <c r="L42" i="55"/>
  <c r="P42" i="55"/>
  <c r="K17" i="55"/>
  <c r="M17" i="55"/>
  <c r="O17" i="55"/>
  <c r="Q17" i="55"/>
  <c r="S17" i="55"/>
  <c r="V10" i="55"/>
  <c r="V11" i="55"/>
  <c r="V12" i="55"/>
  <c r="V31" i="55"/>
  <c r="H42" i="55"/>
  <c r="V24" i="55"/>
  <c r="V25" i="55"/>
  <c r="V27" i="55"/>
  <c r="V29" i="55"/>
  <c r="V35" i="55"/>
  <c r="V39" i="55"/>
  <c r="V8" i="55"/>
  <c r="U9" i="55"/>
  <c r="V9" i="55" s="1"/>
  <c r="U22" i="55"/>
  <c r="U30" i="55"/>
  <c r="V30" i="55" s="1"/>
  <c r="V22" i="55"/>
  <c r="U15" i="1"/>
  <c r="U14" i="1"/>
  <c r="U13" i="1"/>
  <c r="H15" i="1"/>
  <c r="H14" i="1"/>
  <c r="H13" i="1"/>
  <c r="U17" i="56" l="1"/>
  <c r="U42" i="56"/>
  <c r="U17" i="57"/>
  <c r="V8" i="57"/>
  <c r="V17" i="57" s="1"/>
  <c r="V42" i="57"/>
  <c r="V17" i="56"/>
  <c r="V22" i="56"/>
  <c r="V42" i="56" s="1"/>
  <c r="U17" i="55"/>
  <c r="V42" i="55"/>
  <c r="U42" i="55"/>
  <c r="V17" i="55"/>
  <c r="V13" i="1"/>
  <c r="V15" i="1"/>
  <c r="V14" i="1"/>
  <c r="U16" i="1" l="1"/>
  <c r="H16" i="1"/>
  <c r="V16" i="1" l="1"/>
  <c r="F17" i="1" l="1"/>
  <c r="D17" i="1"/>
  <c r="U32" i="1"/>
  <c r="U35" i="1"/>
  <c r="U34" i="1"/>
  <c r="U30" i="1"/>
  <c r="U28" i="1"/>
  <c r="U26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V32" i="1" l="1"/>
  <c r="V26" i="1"/>
  <c r="U23" i="1"/>
  <c r="V23" i="1" s="1"/>
  <c r="U27" i="1"/>
  <c r="V27" i="1" s="1"/>
  <c r="U36" i="1"/>
  <c r="V36" i="1" s="1"/>
  <c r="V30" i="1"/>
  <c r="V34" i="1"/>
  <c r="U24" i="1"/>
  <c r="V24" i="1" s="1"/>
  <c r="U25" i="1"/>
  <c r="V25" i="1" s="1"/>
  <c r="U29" i="1"/>
  <c r="V29" i="1" s="1"/>
  <c r="U31" i="1"/>
  <c r="V31" i="1" s="1"/>
  <c r="U33" i="1"/>
  <c r="V33" i="1" s="1"/>
  <c r="V35" i="1"/>
  <c r="V28" i="1"/>
  <c r="U22" i="1" l="1"/>
  <c r="H22" i="1"/>
  <c r="T38" i="1"/>
  <c r="S38" i="1"/>
  <c r="R38" i="1"/>
  <c r="Q38" i="1"/>
  <c r="P38" i="1"/>
  <c r="O38" i="1"/>
  <c r="N38" i="1"/>
  <c r="M38" i="1"/>
  <c r="L38" i="1"/>
  <c r="K38" i="1"/>
  <c r="J38" i="1"/>
  <c r="I38" i="1"/>
  <c r="G38" i="1"/>
  <c r="F38" i="1"/>
  <c r="E38" i="1"/>
  <c r="D38" i="1"/>
  <c r="C38" i="1"/>
  <c r="U12" i="1"/>
  <c r="U11" i="1"/>
  <c r="U10" i="1"/>
  <c r="U9" i="1"/>
  <c r="U8" i="1"/>
  <c r="H12" i="1"/>
  <c r="H11" i="1"/>
  <c r="H10" i="1"/>
  <c r="H9" i="1"/>
  <c r="H8" i="1"/>
  <c r="T17" i="1"/>
  <c r="S17" i="1"/>
  <c r="R17" i="1"/>
  <c r="Q17" i="1"/>
  <c r="P17" i="1"/>
  <c r="O17" i="1"/>
  <c r="N17" i="1"/>
  <c r="M17" i="1"/>
  <c r="L17" i="1"/>
  <c r="K17" i="1"/>
  <c r="J17" i="1"/>
  <c r="I17" i="1"/>
  <c r="C17" i="1"/>
  <c r="H38" i="1" l="1"/>
  <c r="U38" i="1"/>
  <c r="V22" i="1"/>
  <c r="V10" i="1"/>
  <c r="V9" i="1"/>
  <c r="H17" i="1"/>
  <c r="V11" i="1"/>
  <c r="V8" i="1"/>
  <c r="V12" i="1"/>
  <c r="U17" i="1"/>
  <c r="V38" i="1" l="1"/>
  <c r="V17" i="1"/>
</calcChain>
</file>

<file path=xl/sharedStrings.xml><?xml version="1.0" encoding="utf-8"?>
<sst xmlns="http://schemas.openxmlformats.org/spreadsheetml/2006/main" count="1409" uniqueCount="99">
  <si>
    <t>PLAN ANUAL MENSUALIZADO DE CAJA PAC</t>
  </si>
  <si>
    <t>INGRESOS</t>
  </si>
  <si>
    <t>CODIGO PRESUPUESTAL</t>
  </si>
  <si>
    <t>NOMBRE</t>
  </si>
  <si>
    <t>PRESUPUESTO INICIAL</t>
  </si>
  <si>
    <t>MODIFICACIONES</t>
  </si>
  <si>
    <t>ADICIONES</t>
  </si>
  <si>
    <t>REDUCCIONES</t>
  </si>
  <si>
    <t>PRESUPUESTO DEFINITIVO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</si>
  <si>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</si>
  <si>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</si>
  <si>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</si>
  <si>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</si>
  <si>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</si>
  <si>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</si>
  <si>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</si>
  <si>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</si>
  <si>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</si>
  <si>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</si>
  <si>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</si>
  <si>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</si>
  <si>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EJECUTADO</t>
  </si>
  <si>
    <t>SALDO POR EJECUTAR</t>
  </si>
  <si>
    <t>EGRESOS</t>
  </si>
  <si>
    <t>CREDITOS</t>
  </si>
  <si>
    <t>CONTRACREDITOS</t>
  </si>
  <si>
    <t>TOTALES</t>
  </si>
  <si>
    <t>INSTITUCION EDUCATIVA FE Y ALEGRIA</t>
  </si>
  <si>
    <t>VIGENCIA 2023</t>
  </si>
  <si>
    <t xml:space="preserve">1102050207            </t>
  </si>
  <si>
    <t xml:space="preserve">Servicios financieros y servicios conexos; servicios inmobiliarios; y servicios de arrendamiento y leasing                                                                                                                                      </t>
  </si>
  <si>
    <t xml:space="preserve">1102050209            </t>
  </si>
  <si>
    <t xml:space="preserve">Servicios para la comunidad, sociales y personales                                                                                                                                                                                              </t>
  </si>
  <si>
    <t xml:space="preserve">11020601010302        </t>
  </si>
  <si>
    <t xml:space="preserve">Calidad  por gratuidad                                                                                                                                                                                                                          </t>
  </si>
  <si>
    <t xml:space="preserve">110206060601          </t>
  </si>
  <si>
    <t xml:space="preserve">Gratuidad territorial                                                                                                                                                                                                                           </t>
  </si>
  <si>
    <t xml:space="preserve">12050202              </t>
  </si>
  <si>
    <t xml:space="preserve">Depositos ctas cnp                                                                                                                                                                                                                              </t>
  </si>
  <si>
    <t xml:space="preserve">12100201              </t>
  </si>
  <si>
    <t xml:space="preserve">Superavit propios                                                                                                                                                                                                                               </t>
  </si>
  <si>
    <t xml:space="preserve">12100202              </t>
  </si>
  <si>
    <t xml:space="preserve">Superavit conpes                                                                                                                                                                                                                                </t>
  </si>
  <si>
    <t xml:space="preserve">12100203              </t>
  </si>
  <si>
    <t xml:space="preserve">Superavit municipio                                                                                                                                                                                                                             </t>
  </si>
  <si>
    <t xml:space="preserve">2102010103050303      </t>
  </si>
  <si>
    <t xml:space="preserve">Televisores grabadoras y otros mpio                                                                                                                                                                                                             </t>
  </si>
  <si>
    <t xml:space="preserve">210202010302          </t>
  </si>
  <si>
    <t xml:space="preserve">Materiales y suministros cnp                                                                                                                                                                                                                    </t>
  </si>
  <si>
    <t xml:space="preserve">21020201030403        </t>
  </si>
  <si>
    <t xml:space="preserve">Materiales y suministros superavit mpio                                                                                                                                                                                                         </t>
  </si>
  <si>
    <t xml:space="preserve">210202020502          </t>
  </si>
  <si>
    <t xml:space="preserve">Construccion cnp                                                                                                                                                                                                                                </t>
  </si>
  <si>
    <t xml:space="preserve">210202020503          </t>
  </si>
  <si>
    <t xml:space="preserve">Construccion mpio                                                                                                                                                                                                                               </t>
  </si>
  <si>
    <t xml:space="preserve">210202020505          </t>
  </si>
  <si>
    <t xml:space="preserve">Construccion rnd                                                                                                                                                                                                                                </t>
  </si>
  <si>
    <t xml:space="preserve">21020202070101        </t>
  </si>
  <si>
    <t xml:space="preserve">Gastos financieros  prp                                                                                                                                                                                                                         </t>
  </si>
  <si>
    <t xml:space="preserve">21020202070202        </t>
  </si>
  <si>
    <t xml:space="preserve">Seguros cnp                                                                                                                                                                                                                                     </t>
  </si>
  <si>
    <t xml:space="preserve">21020202080102        </t>
  </si>
  <si>
    <t xml:space="preserve">Honorarios cnp                                                                                                                                                                                                                                  </t>
  </si>
  <si>
    <t xml:space="preserve">21020202080203        </t>
  </si>
  <si>
    <t xml:space="preserve">Servicios tecnicos mpio                                                                                                                                                                                                                         </t>
  </si>
  <si>
    <t xml:space="preserve">21020202080302        </t>
  </si>
  <si>
    <t xml:space="preserve">Mantenimiento de ppye cnp                                                                                                                                                                                                                       </t>
  </si>
  <si>
    <t xml:space="preserve">21020202080401        </t>
  </si>
  <si>
    <t xml:space="preserve">Impresos y publicaciones prp                                                                                                                                                                                                                    </t>
  </si>
  <si>
    <t xml:space="preserve">21020202080502        </t>
  </si>
  <si>
    <t xml:space="preserve">Telefono e internet cnp                                                                                                                                                                                                                         </t>
  </si>
  <si>
    <t xml:space="preserve">2102020208050402      </t>
  </si>
  <si>
    <t xml:space="preserve">Telefono e internet superavit cnp                                                                                                                                                                                                               </t>
  </si>
  <si>
    <t xml:space="preserve">210202030401          </t>
  </si>
  <si>
    <t xml:space="preserve">Varios superavit pr                                                                                                                                                                                                                             </t>
  </si>
  <si>
    <t xml:space="preserve">210201010303020403    </t>
  </si>
  <si>
    <t xml:space="preserve">Computadores y otros superavit mpio                                                                                                                                                                                                             </t>
  </si>
  <si>
    <t xml:space="preserve">210201010305030402    </t>
  </si>
  <si>
    <t xml:space="preserve">Televisores grabadoras y otros superavit cnp                                                                                                                                                                                                    </t>
  </si>
  <si>
    <t xml:space="preserve">2102020207010401      </t>
  </si>
  <si>
    <t xml:space="preserve">Gastos financieros superavit prp                                                                                                                                                                                                                </t>
  </si>
  <si>
    <t xml:space="preserve">2102020208010402      </t>
  </si>
  <si>
    <t xml:space="preserve">Honorarios superavit cnp                                                                                                                                                                                                                        </t>
  </si>
  <si>
    <t xml:space="preserve">1208010301            </t>
  </si>
  <si>
    <t xml:space="preserve">No condicionadas a la adquisición de un activo                                                                                                                                                                                                  </t>
  </si>
  <si>
    <t xml:space="preserve">21020202050402        </t>
  </si>
  <si>
    <t xml:space="preserve">Construccion superavit cnp                                                                                                                                                                                                                      </t>
  </si>
  <si>
    <t xml:space="preserve">21020202050403        </t>
  </si>
  <si>
    <t xml:space="preserve">Construccion superavit mpio                                                                                                                                                                                                                     </t>
  </si>
  <si>
    <t xml:space="preserve">110206060602          </t>
  </si>
  <si>
    <t xml:space="preserve">Calidad territorial                                                                                                                                                                                                                             </t>
  </si>
  <si>
    <t xml:space="preserve">210202010303          </t>
  </si>
  <si>
    <t xml:space="preserve">Materiales y suministros mpio                                                                                                                                                                                                                   </t>
  </si>
  <si>
    <t xml:space="preserve">210202020506          </t>
  </si>
  <si>
    <t xml:space="preserve">Construccion cld                                                                                                                                                                                                                                </t>
  </si>
  <si>
    <t xml:space="preserve">21020202080101        </t>
  </si>
  <si>
    <t xml:space="preserve">Honorarios prp                                                                                                                                                                                                                                  </t>
  </si>
  <si>
    <t xml:space="preserve">210201010305030403    </t>
  </si>
  <si>
    <t xml:space="preserve">Televisores grabadoras y otros superavit mpio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</si>
</sst>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4">
    <xf numFmtId="0" fontId="0" fillId="0" borderId="0" xfId="0"/>
    <xf numFmtId="0" fontId="2" fillId="0" borderId="0" xfId="0" applyFont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164" fontId="2" fillId="0" borderId="23" xfId="1" applyNumberFormat="1" applyFont="1" applyBorder="1" applyAlignment="1">
      <alignment vertical="top" wrapText="1"/>
    </xf>
    <xf numFmtId="164" fontId="2" fillId="0" borderId="13" xfId="1" applyNumberFormat="1" applyFont="1" applyBorder="1" applyAlignment="1">
      <alignment vertical="top" wrapText="1"/>
    </xf>
    <xf numFmtId="164" fontId="2" fillId="0" borderId="12" xfId="1" applyNumberFormat="1" applyFont="1" applyBorder="1" applyAlignment="1">
      <alignment vertical="top" wrapText="1"/>
    </xf>
    <xf numFmtId="164" fontId="2" fillId="0" borderId="14" xfId="1" applyNumberFormat="1" applyFont="1" applyBorder="1" applyAlignment="1">
      <alignment vertical="top" wrapText="1"/>
    </xf>
    <xf numFmtId="164" fontId="2" fillId="0" borderId="24" xfId="1" applyNumberFormat="1" applyFont="1" applyBorder="1" applyAlignment="1">
      <alignment vertical="top" wrapText="1"/>
    </xf>
    <xf numFmtId="164" fontId="2" fillId="0" borderId="15" xfId="1" applyNumberFormat="1" applyFont="1" applyBorder="1" applyAlignment="1">
      <alignment vertical="top" wrapText="1"/>
    </xf>
    <xf numFmtId="164" fontId="2" fillId="0" borderId="1" xfId="1" applyNumberFormat="1" applyFont="1" applyBorder="1" applyAlignment="1">
      <alignment vertical="top" wrapText="1"/>
    </xf>
    <xf numFmtId="164" fontId="2" fillId="0" borderId="16" xfId="1" applyNumberFormat="1" applyFont="1" applyBorder="1" applyAlignment="1">
      <alignment vertical="top" wrapText="1"/>
    </xf>
    <xf numFmtId="164" fontId="2" fillId="0" borderId="25" xfId="1" applyNumberFormat="1" applyFont="1" applyBorder="1" applyAlignment="1">
      <alignment vertical="top" wrapText="1"/>
    </xf>
    <xf numFmtId="164" fontId="2" fillId="0" borderId="9" xfId="1" applyNumberFormat="1" applyFont="1" applyBorder="1" applyAlignment="1">
      <alignment vertical="top" wrapText="1"/>
    </xf>
    <xf numFmtId="164" fontId="2" fillId="0" borderId="10" xfId="1" applyNumberFormat="1" applyFont="1" applyBorder="1" applyAlignment="1">
      <alignment vertical="top" wrapText="1"/>
    </xf>
    <xf numFmtId="164" fontId="2" fillId="0" borderId="11" xfId="1" applyNumberFormat="1" applyFont="1" applyBorder="1" applyAlignment="1">
      <alignment vertical="top" wrapText="1"/>
    </xf>
    <xf numFmtId="164" fontId="2" fillId="0" borderId="2" xfId="1" applyNumberFormat="1" applyFont="1" applyBorder="1" applyAlignment="1">
      <alignment vertical="top" wrapText="1"/>
    </xf>
    <xf numFmtId="164" fontId="2" fillId="0" borderId="17" xfId="1" applyNumberFormat="1" applyFont="1" applyBorder="1" applyAlignment="1">
      <alignment vertical="top" wrapText="1"/>
    </xf>
    <xf numFmtId="164" fontId="2" fillId="0" borderId="26" xfId="1" applyNumberFormat="1" applyFont="1" applyBorder="1" applyAlignment="1">
      <alignment vertical="top" wrapText="1"/>
    </xf>
    <xf numFmtId="164" fontId="2" fillId="0" borderId="18" xfId="1" applyNumberFormat="1" applyFont="1" applyBorder="1" applyAlignment="1">
      <alignment vertical="top" wrapText="1"/>
    </xf>
    <xf numFmtId="164" fontId="2" fillId="0" borderId="27" xfId="1" applyNumberFormat="1" applyFont="1" applyBorder="1" applyAlignment="1">
      <alignment vertical="top" wrapText="1"/>
    </xf>
    <xf numFmtId="164" fontId="2" fillId="0" borderId="3" xfId="1" applyNumberFormat="1" applyFont="1" applyBorder="1" applyAlignment="1">
      <alignment vertical="top" wrapText="1"/>
    </xf>
    <xf numFmtId="164" fontId="2" fillId="0" borderId="4" xfId="1" applyNumberFormat="1" applyFont="1" applyBorder="1" applyAlignment="1">
      <alignment vertical="top" wrapText="1"/>
    </xf>
    <xf numFmtId="164" fontId="2" fillId="0" borderId="5" xfId="1" applyNumberFormat="1" applyFont="1" applyBorder="1" applyAlignment="1">
      <alignment vertical="top" wrapText="1"/>
    </xf>
    <xf numFmtId="164" fontId="2" fillId="0" borderId="29" xfId="1" applyNumberFormat="1" applyFont="1" applyBorder="1" applyAlignment="1">
      <alignment vertical="top" wrapText="1"/>
    </xf>
    <xf numFmtId="164" fontId="2" fillId="0" borderId="28" xfId="1" applyNumberFormat="1" applyFont="1" applyBorder="1" applyAlignment="1">
      <alignment vertical="top" wrapText="1"/>
    </xf>
    <xf numFmtId="164" fontId="2" fillId="0" borderId="30" xfId="1" applyNumberFormat="1" applyFont="1" applyBorder="1" applyAlignment="1">
      <alignment vertical="top" wrapText="1"/>
    </xf>
    <xf numFmtId="164" fontId="2" fillId="0" borderId="6" xfId="1" applyNumberFormat="1" applyFont="1" applyBorder="1" applyAlignment="1">
      <alignment vertical="top" wrapText="1"/>
    </xf>
    <xf numFmtId="164" fontId="2" fillId="0" borderId="7" xfId="1" applyNumberFormat="1" applyFont="1" applyBorder="1" applyAlignment="1">
      <alignment vertical="top" wrapText="1"/>
    </xf>
    <xf numFmtId="164" fontId="2" fillId="0" borderId="8" xfId="1" applyNumberFormat="1" applyFont="1" applyBorder="1" applyAlignment="1">
      <alignment vertical="top" wrapText="1"/>
    </xf>
    <xf numFmtId="164" fontId="2" fillId="0" borderId="31" xfId="1" applyNumberFormat="1" applyFont="1" applyBorder="1" applyAlignment="1">
      <alignment vertical="top" wrapText="1"/>
    </xf>
    <xf numFmtId="164" fontId="2" fillId="0" borderId="32" xfId="1" applyNumberFormat="1" applyFont="1" applyBorder="1" applyAlignment="1">
      <alignment vertical="top" wrapText="1"/>
    </xf>
    <xf numFmtId="164" fontId="2" fillId="0" borderId="33" xfId="1" applyNumberFormat="1" applyFont="1" applyBorder="1" applyAlignment="1">
      <alignment vertical="top" wrapText="1"/>
    </xf>
    <xf numFmtId="164" fontId="2" fillId="0" borderId="34" xfId="1" applyNumberFormat="1" applyFont="1" applyBorder="1" applyAlignment="1">
      <alignment vertical="top" wrapText="1"/>
    </xf>
    <xf numFmtId="164" fontId="2" fillId="0" borderId="35" xfId="1" applyNumberFormat="1" applyFont="1" applyBorder="1" applyAlignment="1">
      <alignment vertical="top" wrapText="1"/>
    </xf>
    <xf numFmtId="164" fontId="2" fillId="0" borderId="21" xfId="1" applyNumberFormat="1" applyFont="1" applyBorder="1" applyAlignment="1">
      <alignment vertical="top" wrapText="1"/>
    </xf>
    <xf numFmtId="164" fontId="2" fillId="0" borderId="36" xfId="1" applyNumberFormat="1" applyFont="1" applyBorder="1" applyAlignment="1">
      <alignment vertical="top" wrapText="1"/>
    </xf>
    <xf numFmtId="164" fontId="2" fillId="0" borderId="37" xfId="1" applyNumberFormat="1" applyFont="1" applyBorder="1" applyAlignment="1">
      <alignment vertical="top" wrapText="1"/>
    </xf>
    <xf numFmtId="164" fontId="2" fillId="0" borderId="22" xfId="1" applyNumberFormat="1" applyFont="1" applyBorder="1" applyAlignment="1">
      <alignment vertical="top" wrapText="1"/>
    </xf>
    <xf numFmtId="164" fontId="2" fillId="0" borderId="38" xfId="1" applyNumberFormat="1" applyFont="1" applyBorder="1" applyAlignment="1">
      <alignment vertical="top" wrapText="1"/>
    </xf>
    <xf numFmtId="164" fontId="2" fillId="2" borderId="3" xfId="1" applyNumberFormat="1" applyFont="1" applyFill="1" applyBorder="1" applyAlignment="1">
      <alignment vertical="top" wrapText="1"/>
    </xf>
    <xf numFmtId="164" fontId="2" fillId="2" borderId="15" xfId="1" applyNumberFormat="1" applyFont="1" applyFill="1" applyBorder="1" applyAlignment="1">
      <alignment vertical="top" wrapText="1"/>
    </xf>
    <xf numFmtId="164" fontId="2" fillId="2" borderId="9" xfId="1" applyNumberFormat="1" applyFont="1" applyFill="1" applyBorder="1" applyAlignment="1">
      <alignment vertical="top" wrapText="1"/>
    </xf>
    <xf numFmtId="164" fontId="2" fillId="2" borderId="6" xfId="1" applyNumberFormat="1" applyFont="1" applyFill="1" applyBorder="1" applyAlignment="1">
      <alignment vertical="top" wrapText="1"/>
    </xf>
    <xf numFmtId="164" fontId="2" fillId="0" borderId="40" xfId="1" applyNumberFormat="1" applyFont="1" applyBorder="1" applyAlignment="1">
      <alignment vertical="top" wrapText="1"/>
    </xf>
    <xf numFmtId="164" fontId="2" fillId="2" borderId="21" xfId="1" applyNumberFormat="1" applyFont="1" applyFill="1" applyBorder="1" applyAlignment="1">
      <alignment vertical="top" wrapText="1"/>
    </xf>
    <xf numFmtId="164" fontId="2" fillId="2" borderId="13" xfId="1" applyNumberFormat="1" applyFont="1" applyFill="1" applyBorder="1" applyAlignment="1">
      <alignment vertical="top" wrapText="1"/>
    </xf>
    <xf numFmtId="164" fontId="2" fillId="0" borderId="39" xfId="1" applyNumberFormat="1" applyFont="1" applyBorder="1" applyAlignment="1">
      <alignment vertical="top" wrapText="1"/>
    </xf>
    <xf numFmtId="164" fontId="2" fillId="2" borderId="23" xfId="1" applyNumberFormat="1" applyFont="1" applyFill="1" applyBorder="1" applyAlignment="1">
      <alignment vertical="top" wrapText="1"/>
    </xf>
    <xf numFmtId="164" fontId="2" fillId="2" borderId="22" xfId="1" applyNumberFormat="1" applyFont="1" applyFill="1" applyBorder="1" applyAlignment="1">
      <alignment vertical="top" wrapText="1"/>
    </xf>
    <xf numFmtId="164" fontId="2" fillId="2" borderId="2" xfId="1" applyNumberFormat="1" applyFont="1" applyFill="1" applyBorder="1" applyAlignment="1">
      <alignment vertical="top" wrapText="1"/>
    </xf>
    <xf numFmtId="164" fontId="2" fillId="2" borderId="4" xfId="1" applyNumberFormat="1" applyFont="1" applyFill="1" applyBorder="1" applyAlignment="1">
      <alignment vertical="top" wrapText="1"/>
    </xf>
    <xf numFmtId="164" fontId="2" fillId="2" borderId="1" xfId="1" applyNumberFormat="1" applyFont="1" applyFill="1" applyBorder="1" applyAlignment="1">
      <alignment vertical="top" wrapText="1"/>
    </xf>
    <xf numFmtId="164" fontId="2" fillId="2" borderId="10" xfId="1" applyNumberFormat="1" applyFont="1" applyFill="1" applyBorder="1" applyAlignment="1">
      <alignment vertical="top" wrapText="1"/>
    </xf>
    <xf numFmtId="164" fontId="2" fillId="2" borderId="7" xfId="1" applyNumberFormat="1" applyFont="1" applyFill="1" applyBorder="1" applyAlignment="1">
      <alignment vertical="top" wrapText="1"/>
    </xf>
    <xf numFmtId="164" fontId="2" fillId="2" borderId="12" xfId="1" applyNumberFormat="1" applyFont="1" applyFill="1" applyBorder="1" applyAlignment="1">
      <alignment vertical="top" wrapText="1"/>
    </xf>
    <xf numFmtId="3" fontId="2" fillId="2" borderId="1" xfId="0" applyNumberFormat="1" applyFont="1" applyFill="1" applyBorder="1" applyAlignment="1">
      <alignment vertical="top" wrapText="1"/>
    </xf>
    <xf numFmtId="3" fontId="2" fillId="0" borderId="23" xfId="1" applyNumberFormat="1" applyFont="1" applyBorder="1" applyAlignment="1">
      <alignment vertical="top" wrapText="1"/>
    </xf>
    <xf numFmtId="3" fontId="2" fillId="0" borderId="27" xfId="1" applyNumberFormat="1" applyFont="1" applyBorder="1" applyAlignment="1">
      <alignment vertical="top" wrapText="1"/>
    </xf>
    <xf numFmtId="3" fontId="2" fillId="2" borderId="3" xfId="1" applyNumberFormat="1" applyFont="1" applyFill="1" applyBorder="1" applyAlignment="1">
      <alignment vertical="top" wrapText="1"/>
    </xf>
    <xf numFmtId="3" fontId="2" fillId="2" borderId="4" xfId="1" applyNumberFormat="1" applyFont="1" applyFill="1" applyBorder="1" applyAlignment="1">
      <alignment vertical="top" wrapText="1"/>
    </xf>
    <xf numFmtId="3" fontId="2" fillId="0" borderId="4" xfId="1" applyNumberFormat="1" applyFont="1" applyBorder="1" applyAlignment="1">
      <alignment vertical="top" wrapText="1"/>
    </xf>
    <xf numFmtId="3" fontId="2" fillId="0" borderId="35" xfId="1" applyNumberFormat="1" applyFont="1" applyBorder="1" applyAlignment="1">
      <alignment vertical="top" wrapText="1"/>
    </xf>
    <xf numFmtId="3" fontId="2" fillId="0" borderId="24" xfId="1" applyNumberFormat="1" applyFont="1" applyBorder="1" applyAlignment="1">
      <alignment vertical="top" wrapText="1"/>
    </xf>
    <xf numFmtId="3" fontId="2" fillId="0" borderId="28" xfId="1" applyNumberFormat="1" applyFont="1" applyBorder="1" applyAlignment="1">
      <alignment vertical="top" wrapText="1"/>
    </xf>
    <xf numFmtId="3" fontId="2" fillId="2" borderId="15" xfId="1" applyNumberFormat="1" applyFont="1" applyFill="1" applyBorder="1" applyAlignment="1">
      <alignment vertical="top" wrapText="1"/>
    </xf>
    <xf numFmtId="3" fontId="2" fillId="2" borderId="1" xfId="1" applyNumberFormat="1" applyFont="1" applyFill="1" applyBorder="1" applyAlignment="1">
      <alignment vertical="top" wrapText="1"/>
    </xf>
    <xf numFmtId="3" fontId="2" fillId="0" borderId="1" xfId="1" applyNumberFormat="1" applyFont="1" applyBorder="1" applyAlignment="1">
      <alignment vertical="top" wrapText="1"/>
    </xf>
    <xf numFmtId="3" fontId="2" fillId="0" borderId="36" xfId="1" applyNumberFormat="1" applyFont="1" applyBorder="1" applyAlignment="1">
      <alignment vertical="top" wrapText="1"/>
    </xf>
    <xf numFmtId="3" fontId="2" fillId="0" borderId="25" xfId="1" applyNumberFormat="1" applyFont="1" applyBorder="1" applyAlignment="1">
      <alignment vertical="top" wrapText="1"/>
    </xf>
    <xf numFmtId="3" fontId="2" fillId="2" borderId="9" xfId="1" applyNumberFormat="1" applyFont="1" applyFill="1" applyBorder="1" applyAlignment="1">
      <alignment vertical="top" wrapText="1"/>
    </xf>
    <xf numFmtId="3" fontId="2" fillId="2" borderId="10" xfId="1" applyNumberFormat="1" applyFont="1" applyFill="1" applyBorder="1" applyAlignment="1">
      <alignment vertical="top" wrapText="1"/>
    </xf>
    <xf numFmtId="3" fontId="2" fillId="0" borderId="10" xfId="1" applyNumberFormat="1" applyFont="1" applyBorder="1" applyAlignment="1">
      <alignment vertical="top" wrapText="1"/>
    </xf>
    <xf numFmtId="3" fontId="2" fillId="0" borderId="38" xfId="1" applyNumberFormat="1" applyFont="1" applyBorder="1" applyAlignment="1">
      <alignment vertical="top" wrapText="1"/>
    </xf>
    <xf numFmtId="3" fontId="2" fillId="2" borderId="6" xfId="1" applyNumberFormat="1" applyFont="1" applyFill="1" applyBorder="1" applyAlignment="1">
      <alignment vertical="top" wrapText="1"/>
    </xf>
    <xf numFmtId="3" fontId="2" fillId="2" borderId="7" xfId="1" applyNumberFormat="1" applyFont="1" applyFill="1" applyBorder="1" applyAlignment="1">
      <alignment vertical="top" wrapText="1"/>
    </xf>
    <xf numFmtId="3" fontId="2" fillId="0" borderId="7" xfId="1" applyNumberFormat="1" applyFont="1" applyBorder="1" applyAlignment="1">
      <alignment vertical="top" wrapText="1"/>
    </xf>
    <xf numFmtId="3" fontId="2" fillId="0" borderId="37" xfId="1" applyNumberFormat="1" applyFont="1" applyBorder="1" applyAlignment="1">
      <alignment vertical="top" wrapText="1"/>
    </xf>
    <xf numFmtId="3" fontId="2" fillId="0" borderId="2" xfId="1" applyNumberFormat="1" applyFont="1" applyBorder="1" applyAlignment="1">
      <alignment vertical="top" wrapText="1"/>
    </xf>
    <xf numFmtId="3" fontId="2" fillId="0" borderId="31" xfId="1" applyNumberFormat="1" applyFont="1" applyBorder="1" applyAlignment="1">
      <alignment vertical="top" wrapText="1"/>
    </xf>
    <xf numFmtId="3" fontId="2" fillId="0" borderId="32" xfId="1" applyNumberFormat="1" applyFont="1" applyBorder="1" applyAlignment="1">
      <alignment vertical="top" wrapText="1"/>
    </xf>
    <xf numFmtId="3" fontId="2" fillId="0" borderId="40" xfId="1" applyNumberFormat="1" applyFont="1" applyBorder="1" applyAlignment="1">
      <alignment vertical="top" wrapText="1"/>
    </xf>
    <xf numFmtId="3" fontId="2" fillId="0" borderId="6" xfId="0" applyNumberFormat="1" applyFont="1" applyBorder="1" applyAlignment="1">
      <alignment vertical="top" wrapText="1"/>
    </xf>
    <xf numFmtId="3" fontId="2" fillId="0" borderId="7" xfId="0" applyNumberFormat="1" applyFont="1" applyBorder="1" applyAlignment="1">
      <alignment vertical="top" wrapText="1"/>
    </xf>
    <xf numFmtId="3" fontId="2" fillId="0" borderId="8" xfId="0" applyNumberFormat="1" applyFont="1" applyBorder="1" applyAlignment="1">
      <alignment vertical="top" wrapText="1"/>
    </xf>
    <xf numFmtId="3" fontId="2" fillId="0" borderId="13" xfId="1" applyNumberFormat="1" applyFont="1" applyBorder="1" applyAlignment="1">
      <alignment vertical="top" wrapText="1"/>
    </xf>
    <xf numFmtId="3" fontId="2" fillId="0" borderId="12" xfId="1" applyNumberFormat="1" applyFont="1" applyBorder="1" applyAlignment="1">
      <alignment vertical="top" wrapText="1"/>
    </xf>
    <xf numFmtId="3" fontId="2" fillId="0" borderId="14" xfId="1" applyNumberFormat="1" applyFont="1" applyBorder="1" applyAlignment="1">
      <alignment vertical="top" wrapText="1"/>
    </xf>
    <xf numFmtId="3" fontId="2" fillId="0" borderId="21" xfId="1" applyNumberFormat="1" applyFont="1" applyFill="1" applyBorder="1" applyAlignment="1">
      <alignment vertical="top" wrapText="1"/>
    </xf>
    <xf numFmtId="3" fontId="2" fillId="2" borderId="13" xfId="1" applyNumberFormat="1" applyFont="1" applyFill="1" applyBorder="1" applyAlignment="1">
      <alignment vertical="top" wrapText="1"/>
    </xf>
    <xf numFmtId="3" fontId="2" fillId="2" borderId="12" xfId="1" applyNumberFormat="1" applyFont="1" applyFill="1" applyBorder="1" applyAlignment="1">
      <alignment vertical="top" wrapText="1"/>
    </xf>
    <xf numFmtId="3" fontId="2" fillId="0" borderId="39" xfId="1" applyNumberFormat="1" applyFont="1" applyBorder="1" applyAlignment="1">
      <alignment vertical="top" wrapText="1"/>
    </xf>
    <xf numFmtId="3" fontId="2" fillId="0" borderId="23" xfId="1" applyNumberFormat="1" applyFont="1" applyFill="1" applyBorder="1" applyAlignment="1">
      <alignment vertical="top" wrapText="1"/>
    </xf>
    <xf numFmtId="3" fontId="2" fillId="0" borderId="9" xfId="1" applyNumberFormat="1" applyFont="1" applyBorder="1" applyAlignment="1">
      <alignment vertical="top" wrapText="1"/>
    </xf>
    <xf numFmtId="3" fontId="2" fillId="0" borderId="11" xfId="1" applyNumberFormat="1" applyFont="1" applyBorder="1" applyAlignment="1">
      <alignment vertical="top" wrapText="1"/>
    </xf>
    <xf numFmtId="3" fontId="2" fillId="0" borderId="34" xfId="1" applyNumberFormat="1" applyFont="1" applyBorder="1" applyAlignment="1">
      <alignment vertical="top" wrapText="1"/>
    </xf>
    <xf numFmtId="3" fontId="2" fillId="0" borderId="22" xfId="1" applyNumberFormat="1" applyFont="1" applyFill="1" applyBorder="1" applyAlignment="1">
      <alignment vertical="top" wrapText="1"/>
    </xf>
    <xf numFmtId="3" fontId="2" fillId="0" borderId="17" xfId="1" applyNumberFormat="1" applyFont="1" applyBorder="1" applyAlignment="1">
      <alignment vertical="top" wrapText="1"/>
    </xf>
    <xf numFmtId="3" fontId="2" fillId="0" borderId="26" xfId="1" applyNumberFormat="1" applyFont="1" applyBorder="1" applyAlignment="1">
      <alignment vertical="top" wrapText="1"/>
    </xf>
    <xf numFmtId="3" fontId="2" fillId="0" borderId="18" xfId="1" applyNumberFormat="1" applyFont="1" applyBorder="1" applyAlignment="1">
      <alignment vertical="top" wrapText="1"/>
    </xf>
    <xf numFmtId="3" fontId="2" fillId="0" borderId="33" xfId="1" applyNumberFormat="1" applyFont="1" applyBorder="1" applyAlignment="1">
      <alignment vertical="top" wrapText="1"/>
    </xf>
    <xf numFmtId="3" fontId="2" fillId="0" borderId="2" xfId="1" applyNumberFormat="1" applyFont="1" applyFill="1" applyBorder="1" applyAlignment="1">
      <alignment vertical="top" wrapText="1"/>
    </xf>
    <xf numFmtId="3" fontId="2" fillId="0" borderId="0" xfId="0" applyNumberFormat="1" applyFont="1" applyAlignment="1">
      <alignment vertical="top" wrapText="1"/>
    </xf>
    <xf numFmtId="3" fontId="2" fillId="2" borderId="12" xfId="0" applyNumberFormat="1" applyFont="1" applyFill="1" applyBorder="1" applyAlignment="1">
      <alignment vertical="top" wrapText="1"/>
    </xf>
    <xf numFmtId="3" fontId="2" fillId="0" borderId="32" xfId="1" applyNumberFormat="1" applyFont="1" applyFill="1" applyBorder="1" applyAlignment="1">
      <alignment vertical="top" wrapText="1"/>
    </xf>
    <xf numFmtId="3" fontId="2" fillId="2" borderId="21" xfId="1" applyNumberFormat="1" applyFont="1" applyFill="1" applyBorder="1" applyAlignment="1">
      <alignment vertical="top" wrapText="1"/>
    </xf>
    <xf numFmtId="3" fontId="2" fillId="2" borderId="23" xfId="1" applyNumberFormat="1" applyFont="1" applyFill="1" applyBorder="1" applyAlignment="1">
      <alignment vertical="top" wrapText="1"/>
    </xf>
    <xf numFmtId="3" fontId="2" fillId="2" borderId="22" xfId="1" applyNumberFormat="1" applyFont="1" applyFill="1" applyBorder="1" applyAlignment="1">
      <alignment vertical="top" wrapText="1"/>
    </xf>
    <xf numFmtId="3" fontId="2" fillId="2" borderId="2" xfId="1" applyNumberFormat="1" applyFont="1" applyFill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3" fontId="2" fillId="2" borderId="10" xfId="0" applyNumberFormat="1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3" fontId="2" fillId="2" borderId="32" xfId="1" applyNumberFormat="1" applyFont="1" applyFill="1" applyBorder="1" applyAlignment="1">
      <alignment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right" vertical="top" wrapText="1"/>
    </xf>
    <xf numFmtId="0" fontId="2" fillId="0" borderId="20" xfId="0" applyFont="1" applyBorder="1" applyAlignment="1">
      <alignment horizontal="right" vertical="top" wrapText="1"/>
    </xf>
    <xf numFmtId="0" fontId="2" fillId="0" borderId="11" xfId="0" applyFont="1" applyBorder="1" applyAlignment="1">
      <alignment horizontal="left" vertical="top" wrapText="1"/>
    </xf>
    <xf numFmtId="164" fontId="2" fillId="0" borderId="9" xfId="1" applyNumberFormat="1" applyFont="1" applyBorder="1" applyAlignment="1">
      <alignment horizontal="right" vertical="top" wrapText="1"/>
    </xf>
    <xf numFmtId="164" fontId="2" fillId="0" borderId="10" xfId="1" applyNumberFormat="1" applyFont="1" applyBorder="1" applyAlignment="1">
      <alignment horizontal="right" vertical="top" wrapText="1"/>
    </xf>
    <xf numFmtId="164" fontId="2" fillId="0" borderId="17" xfId="1" applyNumberFormat="1" applyFont="1" applyBorder="1" applyAlignment="1">
      <alignment horizontal="right" vertical="top" wrapText="1"/>
    </xf>
    <xf numFmtId="164" fontId="2" fillId="0" borderId="26" xfId="1" applyNumberFormat="1" applyFont="1" applyBorder="1" applyAlignment="1">
      <alignment horizontal="right" vertical="top" wrapText="1"/>
    </xf>
    <xf numFmtId="164" fontId="2" fillId="0" borderId="12" xfId="1" applyNumberFormat="1" applyFont="1" applyBorder="1" applyAlignment="1">
      <alignment horizontal="right" vertical="top" wrapText="1"/>
    </xf>
    <xf numFmtId="164" fontId="2" fillId="0" borderId="14" xfId="1" applyNumberFormat="1" applyFont="1" applyBorder="1" applyAlignment="1">
      <alignment horizontal="right" vertical="top" wrapText="1"/>
    </xf>
    <xf numFmtId="164" fontId="2" fillId="0" borderId="1" xfId="1" applyNumberFormat="1" applyFont="1" applyBorder="1" applyAlignment="1">
      <alignment horizontal="right" vertical="top" wrapText="1"/>
    </xf>
    <xf numFmtId="164" fontId="2" fillId="0" borderId="16" xfId="1" applyNumberFormat="1" applyFont="1" applyBorder="1" applyAlignment="1">
      <alignment horizontal="right" vertical="top" wrapText="1"/>
    </xf>
    <xf numFmtId="164" fontId="2" fillId="0" borderId="11" xfId="1" applyNumberFormat="1" applyFont="1" applyBorder="1" applyAlignment="1">
      <alignment horizontal="right" vertical="top" wrapText="1"/>
    </xf>
    <xf numFmtId="164" fontId="2" fillId="0" borderId="13" xfId="1" applyNumberFormat="1" applyFont="1" applyBorder="1" applyAlignment="1">
      <alignment horizontal="right" vertical="top" wrapText="1"/>
    </xf>
    <xf numFmtId="164" fontId="2" fillId="0" borderId="15" xfId="1" applyNumberFormat="1" applyFont="1" applyBorder="1" applyAlignment="1">
      <alignment horizontal="righ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35" xfId="0" applyFont="1" applyBorder="1" applyAlignment="1">
      <alignment horizontal="left" vertical="top" wrapText="1"/>
    </xf>
    <xf numFmtId="0" fontId="2" fillId="0" borderId="38" xfId="0" applyFont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3" fontId="2" fillId="0" borderId="21" xfId="0" applyNumberFormat="1" applyFont="1" applyBorder="1" applyAlignment="1">
      <alignment horizontal="left" vertical="top" wrapText="1"/>
    </xf>
    <xf numFmtId="3" fontId="2" fillId="0" borderId="22" xfId="0" applyNumberFormat="1" applyFont="1" applyBorder="1" applyAlignment="1">
      <alignment horizontal="left" vertical="top" wrapText="1"/>
    </xf>
    <xf numFmtId="3" fontId="2" fillId="0" borderId="4" xfId="0" applyNumberFormat="1" applyFont="1" applyBorder="1" applyAlignment="1">
      <alignment horizontal="left" vertical="top" wrapText="1"/>
    </xf>
    <xf numFmtId="3" fontId="2" fillId="0" borderId="10" xfId="0" applyNumberFormat="1" applyFont="1" applyBorder="1" applyAlignment="1">
      <alignment horizontal="left" vertical="top" wrapText="1"/>
    </xf>
    <xf numFmtId="3" fontId="2" fillId="0" borderId="5" xfId="0" applyNumberFormat="1" applyFont="1" applyBorder="1" applyAlignment="1">
      <alignment horizontal="left" vertical="top" wrapText="1"/>
    </xf>
    <xf numFmtId="3" fontId="2" fillId="0" borderId="11" xfId="0" applyNumberFormat="1" applyFont="1" applyBorder="1" applyAlignment="1">
      <alignment horizontal="left" vertical="top" wrapText="1"/>
    </xf>
    <xf numFmtId="3" fontId="2" fillId="0" borderId="21" xfId="0" applyNumberFormat="1" applyFont="1" applyFill="1" applyBorder="1" applyAlignment="1">
      <alignment horizontal="left" vertical="top" wrapText="1"/>
    </xf>
    <xf numFmtId="3" fontId="2" fillId="0" borderId="22" xfId="0" applyNumberFormat="1" applyFont="1" applyFill="1" applyBorder="1" applyAlignment="1">
      <alignment horizontal="left" vertical="top" wrapText="1"/>
    </xf>
    <xf numFmtId="3" fontId="2" fillId="0" borderId="3" xfId="0" applyNumberFormat="1" applyFont="1" applyBorder="1" applyAlignment="1">
      <alignment horizontal="center" vertical="top" wrapText="1"/>
    </xf>
    <xf numFmtId="3" fontId="2" fillId="0" borderId="4" xfId="0" applyNumberFormat="1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center" vertical="top" wrapText="1"/>
    </xf>
    <xf numFmtId="3" fontId="2" fillId="0" borderId="3" xfId="0" applyNumberFormat="1" applyFont="1" applyBorder="1" applyAlignment="1">
      <alignment horizontal="left" vertical="top" wrapText="1"/>
    </xf>
    <xf numFmtId="3" fontId="2" fillId="0" borderId="9" xfId="0" applyNumberFormat="1" applyFont="1" applyBorder="1" applyAlignment="1">
      <alignment horizontal="left" vertical="top" wrapText="1"/>
    </xf>
    <xf numFmtId="3" fontId="2" fillId="0" borderId="9" xfId="1" applyNumberFormat="1" applyFont="1" applyBorder="1" applyAlignment="1">
      <alignment horizontal="right" vertical="top" wrapText="1"/>
    </xf>
    <xf numFmtId="3" fontId="2" fillId="0" borderId="10" xfId="1" applyNumberFormat="1" applyFont="1" applyBorder="1" applyAlignment="1">
      <alignment horizontal="right" vertical="top" wrapText="1"/>
    </xf>
    <xf numFmtId="3" fontId="2" fillId="0" borderId="11" xfId="1" applyNumberFormat="1" applyFont="1" applyBorder="1" applyAlignment="1">
      <alignment horizontal="right" vertical="top" wrapText="1"/>
    </xf>
    <xf numFmtId="3" fontId="2" fillId="0" borderId="17" xfId="1" applyNumberFormat="1" applyFont="1" applyBorder="1" applyAlignment="1">
      <alignment horizontal="right" vertical="top" wrapText="1"/>
    </xf>
    <xf numFmtId="3" fontId="2" fillId="0" borderId="26" xfId="1" applyNumberFormat="1" applyFont="1" applyBorder="1" applyAlignment="1">
      <alignment horizontal="right" vertical="top" wrapText="1"/>
    </xf>
    <xf numFmtId="3" fontId="2" fillId="0" borderId="15" xfId="1" applyNumberFormat="1" applyFont="1" applyBorder="1" applyAlignment="1">
      <alignment horizontal="right" vertical="top" wrapText="1"/>
    </xf>
    <xf numFmtId="3" fontId="2" fillId="0" borderId="1" xfId="1" applyNumberFormat="1" applyFont="1" applyBorder="1" applyAlignment="1">
      <alignment horizontal="right" vertical="top" wrapText="1"/>
    </xf>
    <xf numFmtId="3" fontId="2" fillId="0" borderId="16" xfId="1" applyNumberFormat="1" applyFont="1" applyBorder="1" applyAlignment="1">
      <alignment horizontal="right" vertical="top" wrapText="1"/>
    </xf>
    <xf numFmtId="3" fontId="2" fillId="0" borderId="6" xfId="0" applyNumberFormat="1" applyFont="1" applyBorder="1" applyAlignment="1">
      <alignment horizontal="center" vertical="top" wrapText="1"/>
    </xf>
    <xf numFmtId="3" fontId="2" fillId="0" borderId="7" xfId="0" applyNumberFormat="1" applyFont="1" applyBorder="1" applyAlignment="1">
      <alignment horizontal="center" vertical="top" wrapText="1"/>
    </xf>
    <xf numFmtId="3" fontId="2" fillId="0" borderId="8" xfId="0" applyNumberFormat="1" applyFont="1" applyBorder="1" applyAlignment="1">
      <alignment horizontal="center" vertical="top" wrapText="1"/>
    </xf>
    <xf numFmtId="3" fontId="2" fillId="0" borderId="13" xfId="1" applyNumberFormat="1" applyFont="1" applyBorder="1" applyAlignment="1">
      <alignment horizontal="right" vertical="top" wrapText="1"/>
    </xf>
    <xf numFmtId="3" fontId="2" fillId="0" borderId="12" xfId="1" applyNumberFormat="1" applyFont="1" applyBorder="1" applyAlignment="1">
      <alignment horizontal="right" vertical="top" wrapText="1"/>
    </xf>
    <xf numFmtId="3" fontId="2" fillId="0" borderId="14" xfId="1" applyNumberFormat="1" applyFont="1" applyBorder="1" applyAlignment="1">
      <alignment horizontal="right" vertical="top" wrapText="1"/>
    </xf>
    <xf numFmtId="3" fontId="2" fillId="0" borderId="35" xfId="0" applyNumberFormat="1" applyFont="1" applyBorder="1" applyAlignment="1">
      <alignment horizontal="left" vertical="top" wrapText="1"/>
    </xf>
    <xf numFmtId="3" fontId="2" fillId="0" borderId="38" xfId="0" applyNumberFormat="1" applyFont="1" applyBorder="1" applyAlignment="1">
      <alignment horizontal="left" vertical="top" wrapText="1"/>
    </xf>
    <xf numFmtId="3" fontId="2" fillId="2" borderId="21" xfId="0" applyNumberFormat="1" applyFont="1" applyFill="1" applyBorder="1" applyAlignment="1">
      <alignment horizontal="left" vertical="top" wrapText="1"/>
    </xf>
    <xf numFmtId="3" fontId="2" fillId="2" borderId="22" xfId="0" applyNumberFormat="1" applyFont="1" applyFill="1" applyBorder="1" applyAlignment="1">
      <alignment horizontal="left" vertical="top" wrapText="1"/>
    </xf>
    <xf numFmtId="3" fontId="2" fillId="0" borderId="7" xfId="0" applyNumberFormat="1" applyFont="1" applyBorder="1" applyAlignment="1">
      <alignment horizontal="left" vertical="top" wrapText="1"/>
    </xf>
    <xf numFmtId="3" fontId="2" fillId="0" borderId="6" xfId="0" applyNumberFormat="1" applyFont="1" applyBorder="1" applyAlignment="1">
      <alignment horizontal="left" vertical="top" wrapText="1"/>
    </xf>
    <xf numFmtId="3" fontId="2" fillId="0" borderId="8" xfId="0" applyNumberFormat="1" applyFont="1" applyBorder="1" applyAlignment="1">
      <alignment horizontal="left" vertical="top" wrapText="1"/>
    </xf>
    <xf numFmtId="3" fontId="2" fillId="0" borderId="41" xfId="0" applyNumberFormat="1" applyFont="1" applyBorder="1" applyAlignment="1">
      <alignment horizontal="center" vertical="top" wrapText="1"/>
    </xf>
    <xf numFmtId="3" fontId="2" fillId="0" borderId="42" xfId="0" applyNumberFormat="1" applyFont="1" applyBorder="1" applyAlignment="1">
      <alignment horizontal="center" vertical="top" wrapText="1"/>
    </xf>
    <xf numFmtId="0" fontId="2" fillId="0" borderId="43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3" fontId="2" fillId="0" borderId="41" xfId="0" applyNumberFormat="1" applyFont="1" applyFill="1" applyBorder="1" applyAlignment="1">
      <alignment horizontal="center" vertical="top" wrapText="1"/>
    </xf>
    <xf numFmtId="3" fontId="2" fillId="0" borderId="42" xfId="0" applyNumberFormat="1" applyFont="1" applyFill="1" applyBorder="1" applyAlignment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opLeftCell="A34" zoomScaleNormal="100" workbookViewId="0">
      <selection activeCell="K9" sqref="K9"/>
    </sheetView>
  </sheetViews>
  <sheetFormatPr baseColWidth="10" defaultColWidth="11.42578125" defaultRowHeight="12.75" x14ac:dyDescent="0.25"/>
  <cols>
    <col min="1" max="1" width="5.7109375" style="1" customWidth="1"/>
    <col min="2" max="3" width="11.7109375" style="1" customWidth="1"/>
    <col min="4" max="7" width="3.7109375" style="1" customWidth="1"/>
    <col min="8" max="8" width="11.7109375" style="1" customWidth="1"/>
    <col min="9" max="9" width="8.7109375" style="1" customWidth="1"/>
    <col min="10" max="19" width="10.7109375" style="1" customWidth="1"/>
    <col min="20" max="20" width="8.7109375" style="1" customWidth="1"/>
    <col min="21" max="21" width="11.7109375" style="1" customWidth="1"/>
    <col min="22" max="22" width="3.7109375" style="1" customWidth="1"/>
    <col min="23" max="23" width="11.5703125" style="1" bestFit="1" customWidth="1"/>
    <col min="24" max="16384" width="11.42578125" style="1"/>
  </cols>
  <sheetData>
    <row r="1" spans="1:22" ht="13.15" x14ac:dyDescent="0.3">
      <c r="A1" s="124" t="s">
        <v>27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</row>
    <row r="2" spans="1:22" ht="13.15" x14ac:dyDescent="0.3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22" ht="13.15" x14ac:dyDescent="0.3">
      <c r="A3" s="124" t="s">
        <v>28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</row>
    <row r="5" spans="1:22" ht="13.9" thickBot="1" x14ac:dyDescent="0.35">
      <c r="A5" s="124" t="s">
        <v>1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</row>
    <row r="6" spans="1:22" x14ac:dyDescent="0.25">
      <c r="A6" s="125" t="s">
        <v>2</v>
      </c>
      <c r="B6" s="127" t="s">
        <v>3</v>
      </c>
      <c r="C6" s="120" t="s">
        <v>4</v>
      </c>
      <c r="D6" s="125" t="s">
        <v>5</v>
      </c>
      <c r="E6" s="129"/>
      <c r="F6" s="129"/>
      <c r="G6" s="130"/>
      <c r="H6" s="120" t="s">
        <v>8</v>
      </c>
      <c r="I6" s="133" t="s">
        <v>9</v>
      </c>
      <c r="J6" s="122" t="s">
        <v>10</v>
      </c>
      <c r="K6" s="122" t="s">
        <v>11</v>
      </c>
      <c r="L6" s="122" t="s">
        <v>12</v>
      </c>
      <c r="M6" s="122" t="s">
        <v>13</v>
      </c>
      <c r="N6" s="122" t="s">
        <v>14</v>
      </c>
      <c r="O6" s="122" t="s">
        <v>15</v>
      </c>
      <c r="P6" s="122" t="s">
        <v>16</v>
      </c>
      <c r="Q6" s="122" t="s">
        <v>17</v>
      </c>
      <c r="R6" s="122" t="s">
        <v>18</v>
      </c>
      <c r="S6" s="122" t="s">
        <v>19</v>
      </c>
      <c r="T6" s="127" t="s">
        <v>20</v>
      </c>
      <c r="U6" s="120" t="s">
        <v>21</v>
      </c>
      <c r="V6" s="120" t="s">
        <v>22</v>
      </c>
    </row>
    <row r="7" spans="1:22" ht="13.5" thickBot="1" x14ac:dyDescent="0.3">
      <c r="A7" s="126"/>
      <c r="B7" s="128"/>
      <c r="C7" s="121"/>
      <c r="D7" s="126" t="s">
        <v>6</v>
      </c>
      <c r="E7" s="131"/>
      <c r="F7" s="131" t="s">
        <v>7</v>
      </c>
      <c r="G7" s="132"/>
      <c r="H7" s="121"/>
      <c r="I7" s="134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37"/>
      <c r="U7" s="121"/>
      <c r="V7" s="121"/>
    </row>
    <row r="8" spans="1:22" ht="132" x14ac:dyDescent="0.3">
      <c r="A8" s="2" t="s">
        <v>29</v>
      </c>
      <c r="B8" s="3" t="s">
        <v>30</v>
      </c>
      <c r="C8" s="11">
        <v>3000000</v>
      </c>
      <c r="D8" s="147"/>
      <c r="E8" s="142"/>
      <c r="F8" s="142"/>
      <c r="G8" s="143"/>
      <c r="H8" s="27">
        <f>C8+D8-F8</f>
        <v>3000000</v>
      </c>
      <c r="I8" s="28"/>
      <c r="J8" s="29">
        <f>3000000/10</f>
        <v>300000</v>
      </c>
      <c r="K8" s="29">
        <f t="shared" ref="K8:S8" si="0">3000000/10</f>
        <v>300000</v>
      </c>
      <c r="L8" s="29">
        <f t="shared" si="0"/>
        <v>300000</v>
      </c>
      <c r="M8" s="29">
        <f t="shared" si="0"/>
        <v>300000</v>
      </c>
      <c r="N8" s="29">
        <f t="shared" si="0"/>
        <v>300000</v>
      </c>
      <c r="O8" s="29">
        <f t="shared" si="0"/>
        <v>300000</v>
      </c>
      <c r="P8" s="29">
        <f t="shared" si="0"/>
        <v>300000</v>
      </c>
      <c r="Q8" s="29">
        <f t="shared" si="0"/>
        <v>300000</v>
      </c>
      <c r="R8" s="29">
        <f t="shared" si="0"/>
        <v>300000</v>
      </c>
      <c r="S8" s="29">
        <f t="shared" si="0"/>
        <v>300000</v>
      </c>
      <c r="T8" s="30"/>
      <c r="U8" s="31">
        <f>SUM(I8:T8)</f>
        <v>3000000</v>
      </c>
      <c r="V8" s="11">
        <f>H8-U8</f>
        <v>0</v>
      </c>
    </row>
    <row r="9" spans="1:22" ht="66" x14ac:dyDescent="0.3">
      <c r="A9" s="4" t="s">
        <v>31</v>
      </c>
      <c r="B9" s="5" t="s">
        <v>32</v>
      </c>
      <c r="C9" s="15">
        <v>3300000</v>
      </c>
      <c r="D9" s="148"/>
      <c r="E9" s="144"/>
      <c r="F9" s="144"/>
      <c r="G9" s="145"/>
      <c r="H9" s="32">
        <f t="shared" ref="H9:H16" si="1">C9+D9-F9</f>
        <v>3300000</v>
      </c>
      <c r="I9" s="16">
        <f>3300000/12</f>
        <v>275000</v>
      </c>
      <c r="J9" s="17">
        <f t="shared" ref="J9:T9" si="2">3300000/12</f>
        <v>275000</v>
      </c>
      <c r="K9" s="17">
        <f t="shared" si="2"/>
        <v>275000</v>
      </c>
      <c r="L9" s="17">
        <f t="shared" si="2"/>
        <v>275000</v>
      </c>
      <c r="M9" s="17">
        <f t="shared" si="2"/>
        <v>275000</v>
      </c>
      <c r="N9" s="17">
        <f t="shared" si="2"/>
        <v>275000</v>
      </c>
      <c r="O9" s="17">
        <f t="shared" si="2"/>
        <v>275000</v>
      </c>
      <c r="P9" s="17">
        <f t="shared" si="2"/>
        <v>275000</v>
      </c>
      <c r="Q9" s="17">
        <f t="shared" si="2"/>
        <v>275000</v>
      </c>
      <c r="R9" s="17">
        <f t="shared" si="2"/>
        <v>275000</v>
      </c>
      <c r="S9" s="17">
        <f t="shared" si="2"/>
        <v>275000</v>
      </c>
      <c r="T9" s="18">
        <f t="shared" si="2"/>
        <v>275000</v>
      </c>
      <c r="U9" s="33">
        <f t="shared" ref="U9:U12" si="3">SUM(I9:T9)</f>
        <v>3300000</v>
      </c>
      <c r="V9" s="15">
        <f t="shared" ref="V9:V12" si="4">H9-U9</f>
        <v>0</v>
      </c>
    </row>
    <row r="10" spans="1:22" ht="52.9" x14ac:dyDescent="0.3">
      <c r="A10" s="4" t="s">
        <v>33</v>
      </c>
      <c r="B10" s="5" t="s">
        <v>34</v>
      </c>
      <c r="C10" s="15">
        <v>78000000</v>
      </c>
      <c r="D10" s="148"/>
      <c r="E10" s="144"/>
      <c r="F10" s="144"/>
      <c r="G10" s="145"/>
      <c r="H10" s="32">
        <f t="shared" si="1"/>
        <v>78000000</v>
      </c>
      <c r="I10" s="16"/>
      <c r="J10" s="17">
        <v>78000000</v>
      </c>
      <c r="K10" s="17"/>
      <c r="L10" s="17"/>
      <c r="M10" s="17"/>
      <c r="N10" s="17"/>
      <c r="O10" s="17"/>
      <c r="P10" s="17"/>
      <c r="Q10" s="17"/>
      <c r="R10" s="17"/>
      <c r="S10" s="17"/>
      <c r="T10" s="18"/>
      <c r="U10" s="33">
        <f t="shared" si="3"/>
        <v>78000000</v>
      </c>
      <c r="V10" s="15">
        <f t="shared" si="4"/>
        <v>0</v>
      </c>
    </row>
    <row r="11" spans="1:22" ht="39.6" x14ac:dyDescent="0.3">
      <c r="A11" s="4" t="s">
        <v>35</v>
      </c>
      <c r="B11" s="5" t="s">
        <v>36</v>
      </c>
      <c r="C11" s="15">
        <v>28000000</v>
      </c>
      <c r="D11" s="148"/>
      <c r="E11" s="144"/>
      <c r="F11" s="144"/>
      <c r="G11" s="145"/>
      <c r="H11" s="32">
        <f t="shared" si="1"/>
        <v>28000000</v>
      </c>
      <c r="I11" s="16"/>
      <c r="J11" s="17"/>
      <c r="K11" s="17"/>
      <c r="L11" s="17"/>
      <c r="M11" s="17"/>
      <c r="N11" s="17"/>
      <c r="O11" s="17">
        <v>28000000</v>
      </c>
      <c r="P11" s="17"/>
      <c r="Q11" s="17"/>
      <c r="R11" s="17"/>
      <c r="S11" s="17"/>
      <c r="T11" s="18"/>
      <c r="U11" s="33">
        <f t="shared" si="3"/>
        <v>28000000</v>
      </c>
      <c r="V11" s="15">
        <f t="shared" si="4"/>
        <v>0</v>
      </c>
    </row>
    <row r="12" spans="1:22" ht="26.45" x14ac:dyDescent="0.3">
      <c r="A12" s="4" t="s">
        <v>37</v>
      </c>
      <c r="B12" s="5" t="s">
        <v>38</v>
      </c>
      <c r="C12" s="15">
        <v>200000</v>
      </c>
      <c r="D12" s="148"/>
      <c r="E12" s="144"/>
      <c r="F12" s="144"/>
      <c r="G12" s="145"/>
      <c r="H12" s="32">
        <f t="shared" si="1"/>
        <v>200000</v>
      </c>
      <c r="I12" s="16">
        <f>200000/12</f>
        <v>16666.666666666668</v>
      </c>
      <c r="J12" s="17">
        <f t="shared" ref="J12:T12" si="5">200000/12</f>
        <v>16666.666666666668</v>
      </c>
      <c r="K12" s="17">
        <f t="shared" si="5"/>
        <v>16666.666666666668</v>
      </c>
      <c r="L12" s="17">
        <f t="shared" si="5"/>
        <v>16666.666666666668</v>
      </c>
      <c r="M12" s="17">
        <f t="shared" si="5"/>
        <v>16666.666666666668</v>
      </c>
      <c r="N12" s="17">
        <f t="shared" si="5"/>
        <v>16666.666666666668</v>
      </c>
      <c r="O12" s="17">
        <f t="shared" si="5"/>
        <v>16666.666666666668</v>
      </c>
      <c r="P12" s="17">
        <f t="shared" si="5"/>
        <v>16666.666666666668</v>
      </c>
      <c r="Q12" s="17">
        <f t="shared" si="5"/>
        <v>16666.666666666668</v>
      </c>
      <c r="R12" s="17">
        <f t="shared" si="5"/>
        <v>16666.666666666668</v>
      </c>
      <c r="S12" s="17">
        <f t="shared" si="5"/>
        <v>16666.666666666668</v>
      </c>
      <c r="T12" s="18">
        <f t="shared" si="5"/>
        <v>16666.666666666668</v>
      </c>
      <c r="U12" s="33">
        <f t="shared" si="3"/>
        <v>199999.99999999997</v>
      </c>
      <c r="V12" s="15">
        <f t="shared" si="4"/>
        <v>0</v>
      </c>
    </row>
    <row r="13" spans="1:22" ht="26.45" x14ac:dyDescent="0.3">
      <c r="A13" s="6" t="s">
        <v>39</v>
      </c>
      <c r="B13" s="7" t="s">
        <v>40</v>
      </c>
      <c r="C13" s="19">
        <v>1000</v>
      </c>
      <c r="D13" s="148"/>
      <c r="E13" s="144"/>
      <c r="F13" s="144"/>
      <c r="G13" s="145"/>
      <c r="H13" s="32">
        <f t="shared" ref="H13:H15" si="6">C13+D13-F13</f>
        <v>1000</v>
      </c>
      <c r="I13" s="20">
        <v>1000</v>
      </c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2"/>
      <c r="U13" s="33">
        <f t="shared" ref="U13:U15" si="7">SUM(I13:T13)</f>
        <v>1000</v>
      </c>
      <c r="V13" s="15">
        <f t="shared" ref="V13:V15" si="8">H13-U13</f>
        <v>0</v>
      </c>
    </row>
    <row r="14" spans="1:22" ht="26.45" x14ac:dyDescent="0.3">
      <c r="A14" s="6" t="s">
        <v>41</v>
      </c>
      <c r="B14" s="7" t="s">
        <v>42</v>
      </c>
      <c r="C14" s="19">
        <v>1000</v>
      </c>
      <c r="D14" s="148"/>
      <c r="E14" s="144"/>
      <c r="F14" s="144"/>
      <c r="G14" s="145"/>
      <c r="H14" s="32">
        <f t="shared" si="6"/>
        <v>1000</v>
      </c>
      <c r="I14" s="20">
        <v>1000</v>
      </c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2"/>
      <c r="U14" s="33">
        <f t="shared" si="7"/>
        <v>1000</v>
      </c>
      <c r="V14" s="15">
        <f t="shared" si="8"/>
        <v>0</v>
      </c>
    </row>
    <row r="15" spans="1:22" ht="26.45" x14ac:dyDescent="0.3">
      <c r="A15" s="6" t="s">
        <v>43</v>
      </c>
      <c r="B15" s="7" t="s">
        <v>44</v>
      </c>
      <c r="C15" s="19">
        <v>1000</v>
      </c>
      <c r="D15" s="148"/>
      <c r="E15" s="144"/>
      <c r="F15" s="144"/>
      <c r="G15" s="145"/>
      <c r="H15" s="32">
        <f t="shared" si="6"/>
        <v>1000</v>
      </c>
      <c r="I15" s="20">
        <v>1000</v>
      </c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2"/>
      <c r="U15" s="33">
        <f t="shared" si="7"/>
        <v>1000</v>
      </c>
      <c r="V15" s="15">
        <f t="shared" si="8"/>
        <v>0</v>
      </c>
    </row>
    <row r="16" spans="1:22" ht="13.9" thickBot="1" x14ac:dyDescent="0.35">
      <c r="A16" s="6"/>
      <c r="B16" s="7"/>
      <c r="C16" s="19"/>
      <c r="D16" s="138"/>
      <c r="E16" s="139"/>
      <c r="F16" s="139"/>
      <c r="G16" s="146"/>
      <c r="H16" s="32">
        <f t="shared" si="1"/>
        <v>0</v>
      </c>
      <c r="I16" s="34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6"/>
      <c r="U16" s="33">
        <f t="shared" ref="U16" si="9">SUM(I16:T16)</f>
        <v>0</v>
      </c>
      <c r="V16" s="15">
        <f t="shared" ref="V16" si="10">H16-U16</f>
        <v>0</v>
      </c>
    </row>
    <row r="17" spans="1:22" ht="13.9" thickBot="1" x14ac:dyDescent="0.35">
      <c r="A17" s="135" t="s">
        <v>26</v>
      </c>
      <c r="B17" s="136"/>
      <c r="C17" s="23">
        <f>SUM(C8:C16)</f>
        <v>112503000</v>
      </c>
      <c r="D17" s="140">
        <f>SUM(D8:E16)</f>
        <v>0</v>
      </c>
      <c r="E17" s="141"/>
      <c r="F17" s="140">
        <f>SUM(F8:G16)</f>
        <v>0</v>
      </c>
      <c r="G17" s="141"/>
      <c r="H17" s="23">
        <f t="shared" ref="H17:V17" si="11">SUM(H8:H16)</f>
        <v>112503000</v>
      </c>
      <c r="I17" s="37">
        <f t="shared" si="11"/>
        <v>294666.66666666669</v>
      </c>
      <c r="J17" s="38">
        <f t="shared" si="11"/>
        <v>78591666.666666672</v>
      </c>
      <c r="K17" s="38">
        <f t="shared" si="11"/>
        <v>591666.66666666663</v>
      </c>
      <c r="L17" s="38">
        <f t="shared" si="11"/>
        <v>591666.66666666663</v>
      </c>
      <c r="M17" s="38">
        <f t="shared" si="11"/>
        <v>591666.66666666663</v>
      </c>
      <c r="N17" s="38">
        <f t="shared" si="11"/>
        <v>591666.66666666663</v>
      </c>
      <c r="O17" s="38">
        <f t="shared" si="11"/>
        <v>28591666.666666668</v>
      </c>
      <c r="P17" s="38">
        <f t="shared" si="11"/>
        <v>591666.66666666663</v>
      </c>
      <c r="Q17" s="38">
        <f t="shared" si="11"/>
        <v>591666.66666666663</v>
      </c>
      <c r="R17" s="38">
        <f t="shared" si="11"/>
        <v>591666.66666666663</v>
      </c>
      <c r="S17" s="38">
        <f t="shared" si="11"/>
        <v>591666.66666666663</v>
      </c>
      <c r="T17" s="39">
        <f t="shared" si="11"/>
        <v>291666.66666666669</v>
      </c>
      <c r="U17" s="23">
        <f t="shared" si="11"/>
        <v>112503000</v>
      </c>
      <c r="V17" s="23">
        <f t="shared" si="11"/>
        <v>0</v>
      </c>
    </row>
    <row r="19" spans="1:22" ht="13.9" thickBot="1" x14ac:dyDescent="0.35">
      <c r="A19" s="124" t="s">
        <v>23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</row>
    <row r="20" spans="1:22" x14ac:dyDescent="0.25">
      <c r="A20" s="133" t="s">
        <v>2</v>
      </c>
      <c r="B20" s="127" t="s">
        <v>3</v>
      </c>
      <c r="C20" s="120" t="s">
        <v>4</v>
      </c>
      <c r="D20" s="125" t="s">
        <v>5</v>
      </c>
      <c r="E20" s="129"/>
      <c r="F20" s="129"/>
      <c r="G20" s="130"/>
      <c r="H20" s="120" t="s">
        <v>8</v>
      </c>
      <c r="I20" s="133" t="s">
        <v>9</v>
      </c>
      <c r="J20" s="122" t="s">
        <v>10</v>
      </c>
      <c r="K20" s="122" t="s">
        <v>11</v>
      </c>
      <c r="L20" s="122" t="s">
        <v>12</v>
      </c>
      <c r="M20" s="122" t="s">
        <v>13</v>
      </c>
      <c r="N20" s="122" t="s">
        <v>14</v>
      </c>
      <c r="O20" s="122" t="s">
        <v>15</v>
      </c>
      <c r="P20" s="122" t="s">
        <v>16</v>
      </c>
      <c r="Q20" s="122" t="s">
        <v>17</v>
      </c>
      <c r="R20" s="122" t="s">
        <v>18</v>
      </c>
      <c r="S20" s="122" t="s">
        <v>19</v>
      </c>
      <c r="T20" s="127" t="s">
        <v>20</v>
      </c>
      <c r="U20" s="120" t="s">
        <v>21</v>
      </c>
      <c r="V20" s="120" t="s">
        <v>22</v>
      </c>
    </row>
    <row r="21" spans="1:22" ht="90" thickBot="1" x14ac:dyDescent="0.3">
      <c r="A21" s="149"/>
      <c r="B21" s="128"/>
      <c r="C21" s="121"/>
      <c r="D21" s="8" t="s">
        <v>6</v>
      </c>
      <c r="E21" s="9" t="s">
        <v>7</v>
      </c>
      <c r="F21" s="9" t="s">
        <v>24</v>
      </c>
      <c r="G21" s="10" t="s">
        <v>25</v>
      </c>
      <c r="H21" s="121"/>
      <c r="I21" s="134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37"/>
      <c r="U21" s="121"/>
      <c r="V21" s="121"/>
    </row>
    <row r="22" spans="1:22" ht="52.9" x14ac:dyDescent="0.3">
      <c r="A22" s="2" t="s">
        <v>45</v>
      </c>
      <c r="B22" s="3" t="s">
        <v>46</v>
      </c>
      <c r="C22" s="11">
        <v>18500000</v>
      </c>
      <c r="D22" s="12"/>
      <c r="E22" s="13"/>
      <c r="F22" s="13"/>
      <c r="G22" s="14"/>
      <c r="H22" s="27">
        <f>C22+D22-E22+F22-G22</f>
        <v>18500000</v>
      </c>
      <c r="I22" s="28"/>
      <c r="J22" s="29">
        <f>18500000/10</f>
        <v>1850000</v>
      </c>
      <c r="K22" s="29">
        <f t="shared" ref="K22:S22" si="12">18500000/10</f>
        <v>1850000</v>
      </c>
      <c r="L22" s="29">
        <f t="shared" si="12"/>
        <v>1850000</v>
      </c>
      <c r="M22" s="29">
        <f t="shared" si="12"/>
        <v>1850000</v>
      </c>
      <c r="N22" s="29">
        <f t="shared" si="12"/>
        <v>1850000</v>
      </c>
      <c r="O22" s="29">
        <f t="shared" si="12"/>
        <v>1850000</v>
      </c>
      <c r="P22" s="29">
        <f t="shared" si="12"/>
        <v>1850000</v>
      </c>
      <c r="Q22" s="29">
        <f t="shared" si="12"/>
        <v>1850000</v>
      </c>
      <c r="R22" s="29">
        <f t="shared" si="12"/>
        <v>1850000</v>
      </c>
      <c r="S22" s="29">
        <f t="shared" si="12"/>
        <v>1850000</v>
      </c>
      <c r="T22" s="41"/>
      <c r="U22" s="42">
        <f>SUM(I22:T22)</f>
        <v>18500000</v>
      </c>
      <c r="V22" s="11">
        <f>H22-U22</f>
        <v>0</v>
      </c>
    </row>
    <row r="23" spans="1:22" ht="39.6" x14ac:dyDescent="0.3">
      <c r="A23" s="2" t="s">
        <v>47</v>
      </c>
      <c r="B23" s="3" t="s">
        <v>48</v>
      </c>
      <c r="C23" s="11">
        <v>14000000</v>
      </c>
      <c r="D23" s="12"/>
      <c r="E23" s="13"/>
      <c r="F23" s="13"/>
      <c r="G23" s="14"/>
      <c r="H23" s="27">
        <f t="shared" ref="H23:H36" si="13">C23+D23-E23+F23-G23</f>
        <v>14000000</v>
      </c>
      <c r="I23" s="16"/>
      <c r="J23" s="17">
        <f>14000000/10</f>
        <v>1400000</v>
      </c>
      <c r="K23" s="17">
        <f t="shared" ref="K23:S23" si="14">14000000/10</f>
        <v>1400000</v>
      </c>
      <c r="L23" s="17">
        <f t="shared" si="14"/>
        <v>1400000</v>
      </c>
      <c r="M23" s="17">
        <f t="shared" si="14"/>
        <v>1400000</v>
      </c>
      <c r="N23" s="17">
        <f t="shared" si="14"/>
        <v>1400000</v>
      </c>
      <c r="O23" s="17">
        <f t="shared" si="14"/>
        <v>1400000</v>
      </c>
      <c r="P23" s="17">
        <f t="shared" si="14"/>
        <v>1400000</v>
      </c>
      <c r="Q23" s="17">
        <f t="shared" si="14"/>
        <v>1400000</v>
      </c>
      <c r="R23" s="17">
        <f t="shared" si="14"/>
        <v>1400000</v>
      </c>
      <c r="S23" s="17">
        <f t="shared" si="14"/>
        <v>1400000</v>
      </c>
      <c r="T23" s="43"/>
      <c r="U23" s="11">
        <f t="shared" ref="U23:U36" si="15">SUM(I23:T23)</f>
        <v>14000000</v>
      </c>
      <c r="V23" s="11">
        <f t="shared" ref="V23:V36" si="16">H23-U23</f>
        <v>0</v>
      </c>
    </row>
    <row r="24" spans="1:22" ht="52.9" x14ac:dyDescent="0.3">
      <c r="A24" s="2" t="s">
        <v>49</v>
      </c>
      <c r="B24" s="3" t="s">
        <v>50</v>
      </c>
      <c r="C24" s="11">
        <v>1000</v>
      </c>
      <c r="D24" s="12"/>
      <c r="E24" s="13"/>
      <c r="F24" s="13"/>
      <c r="G24" s="14"/>
      <c r="H24" s="27">
        <f t="shared" si="13"/>
        <v>1000</v>
      </c>
      <c r="I24" s="16"/>
      <c r="J24" s="17">
        <f>1000/10</f>
        <v>100</v>
      </c>
      <c r="K24" s="17">
        <f t="shared" ref="K24:S24" si="17">1000/10</f>
        <v>100</v>
      </c>
      <c r="L24" s="17">
        <f t="shared" si="17"/>
        <v>100</v>
      </c>
      <c r="M24" s="17">
        <f t="shared" si="17"/>
        <v>100</v>
      </c>
      <c r="N24" s="17">
        <f t="shared" si="17"/>
        <v>100</v>
      </c>
      <c r="O24" s="17">
        <f t="shared" si="17"/>
        <v>100</v>
      </c>
      <c r="P24" s="17">
        <f t="shared" si="17"/>
        <v>100</v>
      </c>
      <c r="Q24" s="17">
        <f t="shared" si="17"/>
        <v>100</v>
      </c>
      <c r="R24" s="17">
        <f t="shared" si="17"/>
        <v>100</v>
      </c>
      <c r="S24" s="17">
        <f t="shared" si="17"/>
        <v>100</v>
      </c>
      <c r="T24" s="43"/>
      <c r="U24" s="11">
        <f t="shared" si="15"/>
        <v>1000</v>
      </c>
      <c r="V24" s="11">
        <f t="shared" si="16"/>
        <v>0</v>
      </c>
    </row>
    <row r="25" spans="1:22" ht="39.6" x14ac:dyDescent="0.3">
      <c r="A25" s="2" t="s">
        <v>51</v>
      </c>
      <c r="B25" s="3" t="s">
        <v>52</v>
      </c>
      <c r="C25" s="11">
        <v>20000000</v>
      </c>
      <c r="D25" s="12"/>
      <c r="E25" s="13"/>
      <c r="F25" s="13"/>
      <c r="G25" s="14"/>
      <c r="H25" s="27">
        <f t="shared" si="13"/>
        <v>20000000</v>
      </c>
      <c r="I25" s="16"/>
      <c r="J25" s="17">
        <f>20000000/10</f>
        <v>2000000</v>
      </c>
      <c r="K25" s="17">
        <f t="shared" ref="K25:S25" si="18">20000000/10</f>
        <v>2000000</v>
      </c>
      <c r="L25" s="17">
        <f t="shared" si="18"/>
        <v>2000000</v>
      </c>
      <c r="M25" s="17">
        <f t="shared" si="18"/>
        <v>2000000</v>
      </c>
      <c r="N25" s="17">
        <f t="shared" si="18"/>
        <v>2000000</v>
      </c>
      <c r="O25" s="17">
        <f t="shared" si="18"/>
        <v>2000000</v>
      </c>
      <c r="P25" s="17">
        <f t="shared" si="18"/>
        <v>2000000</v>
      </c>
      <c r="Q25" s="17">
        <f t="shared" si="18"/>
        <v>2000000</v>
      </c>
      <c r="R25" s="17">
        <f t="shared" si="18"/>
        <v>2000000</v>
      </c>
      <c r="S25" s="17">
        <f t="shared" si="18"/>
        <v>2000000</v>
      </c>
      <c r="T25" s="43"/>
      <c r="U25" s="11">
        <f t="shared" si="15"/>
        <v>20000000</v>
      </c>
      <c r="V25" s="11">
        <f t="shared" si="16"/>
        <v>0</v>
      </c>
    </row>
    <row r="26" spans="1:22" ht="39.6" x14ac:dyDescent="0.3">
      <c r="A26" s="2" t="s">
        <v>53</v>
      </c>
      <c r="B26" s="3" t="s">
        <v>54</v>
      </c>
      <c r="C26" s="11">
        <v>2300000</v>
      </c>
      <c r="D26" s="12"/>
      <c r="E26" s="13"/>
      <c r="F26" s="13"/>
      <c r="G26" s="14"/>
      <c r="H26" s="27">
        <f t="shared" si="13"/>
        <v>2300000</v>
      </c>
      <c r="I26" s="16"/>
      <c r="J26" s="17">
        <f>2300000/10</f>
        <v>230000</v>
      </c>
      <c r="K26" s="17">
        <f t="shared" ref="K26:S26" si="19">2300000/10</f>
        <v>230000</v>
      </c>
      <c r="L26" s="17">
        <f t="shared" si="19"/>
        <v>230000</v>
      </c>
      <c r="M26" s="17">
        <f t="shared" si="19"/>
        <v>230000</v>
      </c>
      <c r="N26" s="17">
        <f t="shared" si="19"/>
        <v>230000</v>
      </c>
      <c r="O26" s="17">
        <f t="shared" si="19"/>
        <v>230000</v>
      </c>
      <c r="P26" s="17">
        <f t="shared" si="19"/>
        <v>230000</v>
      </c>
      <c r="Q26" s="17">
        <f t="shared" si="19"/>
        <v>230000</v>
      </c>
      <c r="R26" s="17">
        <f t="shared" si="19"/>
        <v>230000</v>
      </c>
      <c r="S26" s="17">
        <f t="shared" si="19"/>
        <v>230000</v>
      </c>
      <c r="T26" s="43"/>
      <c r="U26" s="11">
        <f t="shared" si="15"/>
        <v>2300000</v>
      </c>
      <c r="V26" s="11">
        <f t="shared" si="16"/>
        <v>0</v>
      </c>
    </row>
    <row r="27" spans="1:22" ht="39.6" x14ac:dyDescent="0.3">
      <c r="A27" s="2" t="s">
        <v>55</v>
      </c>
      <c r="B27" s="3" t="s">
        <v>56</v>
      </c>
      <c r="C27" s="11">
        <v>200000</v>
      </c>
      <c r="D27" s="12"/>
      <c r="E27" s="13"/>
      <c r="F27" s="13"/>
      <c r="G27" s="14"/>
      <c r="H27" s="27">
        <f t="shared" si="13"/>
        <v>200000</v>
      </c>
      <c r="I27" s="16"/>
      <c r="J27" s="17">
        <f>200000/10</f>
        <v>20000</v>
      </c>
      <c r="K27" s="17">
        <f t="shared" ref="K27:S27" si="20">200000/10</f>
        <v>20000</v>
      </c>
      <c r="L27" s="17">
        <f t="shared" si="20"/>
        <v>20000</v>
      </c>
      <c r="M27" s="17">
        <f t="shared" si="20"/>
        <v>20000</v>
      </c>
      <c r="N27" s="17">
        <f t="shared" si="20"/>
        <v>20000</v>
      </c>
      <c r="O27" s="17">
        <f t="shared" si="20"/>
        <v>20000</v>
      </c>
      <c r="P27" s="17">
        <f t="shared" si="20"/>
        <v>20000</v>
      </c>
      <c r="Q27" s="17">
        <f t="shared" si="20"/>
        <v>20000</v>
      </c>
      <c r="R27" s="17">
        <f t="shared" si="20"/>
        <v>20000</v>
      </c>
      <c r="S27" s="17">
        <f t="shared" si="20"/>
        <v>20000</v>
      </c>
      <c r="T27" s="43"/>
      <c r="U27" s="11">
        <f t="shared" si="15"/>
        <v>200000</v>
      </c>
      <c r="V27" s="11">
        <f t="shared" si="16"/>
        <v>0</v>
      </c>
    </row>
    <row r="28" spans="1:22" ht="52.9" x14ac:dyDescent="0.3">
      <c r="A28" s="2" t="s">
        <v>57</v>
      </c>
      <c r="B28" s="3" t="s">
        <v>58</v>
      </c>
      <c r="C28" s="11">
        <v>1500000</v>
      </c>
      <c r="D28" s="12"/>
      <c r="E28" s="13"/>
      <c r="F28" s="13"/>
      <c r="G28" s="14"/>
      <c r="H28" s="27">
        <f t="shared" si="13"/>
        <v>1500000</v>
      </c>
      <c r="I28" s="16">
        <f>1500000/12</f>
        <v>125000</v>
      </c>
      <c r="J28" s="17">
        <f t="shared" ref="J28:T28" si="21">1500000/12</f>
        <v>125000</v>
      </c>
      <c r="K28" s="17">
        <f t="shared" si="21"/>
        <v>125000</v>
      </c>
      <c r="L28" s="17">
        <f t="shared" si="21"/>
        <v>125000</v>
      </c>
      <c r="M28" s="17">
        <f t="shared" si="21"/>
        <v>125000</v>
      </c>
      <c r="N28" s="17">
        <f t="shared" si="21"/>
        <v>125000</v>
      </c>
      <c r="O28" s="17">
        <f t="shared" si="21"/>
        <v>125000</v>
      </c>
      <c r="P28" s="17">
        <f t="shared" si="21"/>
        <v>125000</v>
      </c>
      <c r="Q28" s="17">
        <f t="shared" si="21"/>
        <v>125000</v>
      </c>
      <c r="R28" s="17">
        <f t="shared" si="21"/>
        <v>125000</v>
      </c>
      <c r="S28" s="17">
        <f t="shared" si="21"/>
        <v>125000</v>
      </c>
      <c r="T28" s="43">
        <f t="shared" si="21"/>
        <v>125000</v>
      </c>
      <c r="U28" s="11">
        <f t="shared" si="15"/>
        <v>1500000</v>
      </c>
      <c r="V28" s="11">
        <f t="shared" si="16"/>
        <v>0</v>
      </c>
    </row>
    <row r="29" spans="1:22" ht="52.9" x14ac:dyDescent="0.3">
      <c r="A29" s="2" t="s">
        <v>59</v>
      </c>
      <c r="B29" s="3" t="s">
        <v>60</v>
      </c>
      <c r="C29" s="11">
        <v>5000000</v>
      </c>
      <c r="D29" s="12"/>
      <c r="E29" s="13"/>
      <c r="F29" s="13"/>
      <c r="G29" s="14"/>
      <c r="H29" s="27">
        <f t="shared" si="13"/>
        <v>5000000</v>
      </c>
      <c r="I29" s="16"/>
      <c r="J29" s="17">
        <f>5000000/10</f>
        <v>500000</v>
      </c>
      <c r="K29" s="17">
        <f t="shared" ref="K29:S29" si="22">5000000/10</f>
        <v>500000</v>
      </c>
      <c r="L29" s="17">
        <f t="shared" si="22"/>
        <v>500000</v>
      </c>
      <c r="M29" s="17">
        <f t="shared" si="22"/>
        <v>500000</v>
      </c>
      <c r="N29" s="17">
        <f t="shared" si="22"/>
        <v>500000</v>
      </c>
      <c r="O29" s="17">
        <f t="shared" si="22"/>
        <v>500000</v>
      </c>
      <c r="P29" s="17">
        <f t="shared" si="22"/>
        <v>500000</v>
      </c>
      <c r="Q29" s="17">
        <f t="shared" si="22"/>
        <v>500000</v>
      </c>
      <c r="R29" s="17">
        <f t="shared" si="22"/>
        <v>500000</v>
      </c>
      <c r="S29" s="17">
        <f t="shared" si="22"/>
        <v>500000</v>
      </c>
      <c r="T29" s="43"/>
      <c r="U29" s="11">
        <f t="shared" si="15"/>
        <v>5000000</v>
      </c>
      <c r="V29" s="11">
        <f t="shared" si="16"/>
        <v>0</v>
      </c>
    </row>
    <row r="30" spans="1:22" ht="52.9" x14ac:dyDescent="0.3">
      <c r="A30" s="2" t="s">
        <v>61</v>
      </c>
      <c r="B30" s="3" t="s">
        <v>62</v>
      </c>
      <c r="C30" s="11">
        <v>24000000</v>
      </c>
      <c r="D30" s="12"/>
      <c r="E30" s="13"/>
      <c r="F30" s="13"/>
      <c r="G30" s="14"/>
      <c r="H30" s="27">
        <f t="shared" si="13"/>
        <v>24000000</v>
      </c>
      <c r="I30" s="16"/>
      <c r="J30" s="17">
        <f>24000000/10</f>
        <v>2400000</v>
      </c>
      <c r="K30" s="17">
        <f t="shared" ref="K30:S30" si="23">24000000/10</f>
        <v>2400000</v>
      </c>
      <c r="L30" s="17">
        <f t="shared" si="23"/>
        <v>2400000</v>
      </c>
      <c r="M30" s="17">
        <f t="shared" si="23"/>
        <v>2400000</v>
      </c>
      <c r="N30" s="17">
        <f t="shared" si="23"/>
        <v>2400000</v>
      </c>
      <c r="O30" s="17">
        <f t="shared" si="23"/>
        <v>2400000</v>
      </c>
      <c r="P30" s="17">
        <f t="shared" si="23"/>
        <v>2400000</v>
      </c>
      <c r="Q30" s="17">
        <f t="shared" si="23"/>
        <v>2400000</v>
      </c>
      <c r="R30" s="17">
        <f t="shared" si="23"/>
        <v>2400000</v>
      </c>
      <c r="S30" s="17">
        <f t="shared" si="23"/>
        <v>2400000</v>
      </c>
      <c r="T30" s="43"/>
      <c r="U30" s="11">
        <f t="shared" si="15"/>
        <v>24000000</v>
      </c>
      <c r="V30" s="11">
        <f t="shared" si="16"/>
        <v>0</v>
      </c>
    </row>
    <row r="31" spans="1:22" ht="52.9" x14ac:dyDescent="0.3">
      <c r="A31" s="2" t="s">
        <v>63</v>
      </c>
      <c r="B31" s="3" t="s">
        <v>64</v>
      </c>
      <c r="C31" s="11">
        <v>7200000</v>
      </c>
      <c r="D31" s="12"/>
      <c r="E31" s="13"/>
      <c r="F31" s="13"/>
      <c r="G31" s="14"/>
      <c r="H31" s="27">
        <f t="shared" si="13"/>
        <v>7200000</v>
      </c>
      <c r="I31" s="16"/>
      <c r="J31" s="17">
        <f>7200000/10</f>
        <v>720000</v>
      </c>
      <c r="K31" s="17">
        <f t="shared" ref="K31:S31" si="24">7200000/10</f>
        <v>720000</v>
      </c>
      <c r="L31" s="17">
        <f t="shared" si="24"/>
        <v>720000</v>
      </c>
      <c r="M31" s="17">
        <f t="shared" si="24"/>
        <v>720000</v>
      </c>
      <c r="N31" s="17">
        <f t="shared" si="24"/>
        <v>720000</v>
      </c>
      <c r="O31" s="17">
        <f t="shared" si="24"/>
        <v>720000</v>
      </c>
      <c r="P31" s="17">
        <f t="shared" si="24"/>
        <v>720000</v>
      </c>
      <c r="Q31" s="17">
        <f t="shared" si="24"/>
        <v>720000</v>
      </c>
      <c r="R31" s="17">
        <f t="shared" si="24"/>
        <v>720000</v>
      </c>
      <c r="S31" s="17">
        <f t="shared" si="24"/>
        <v>720000</v>
      </c>
      <c r="T31" s="43"/>
      <c r="U31" s="11">
        <f t="shared" si="15"/>
        <v>7200000</v>
      </c>
      <c r="V31" s="11">
        <f t="shared" si="16"/>
        <v>0</v>
      </c>
    </row>
    <row r="32" spans="1:22" ht="52.9" x14ac:dyDescent="0.3">
      <c r="A32" s="2" t="s">
        <v>65</v>
      </c>
      <c r="B32" s="3" t="s">
        <v>66</v>
      </c>
      <c r="C32" s="11">
        <v>8500000</v>
      </c>
      <c r="D32" s="12"/>
      <c r="E32" s="13"/>
      <c r="F32" s="13"/>
      <c r="G32" s="14"/>
      <c r="H32" s="27">
        <f t="shared" si="13"/>
        <v>8500000</v>
      </c>
      <c r="I32" s="16"/>
      <c r="J32" s="17">
        <f>8500000/10</f>
        <v>850000</v>
      </c>
      <c r="K32" s="17">
        <f t="shared" ref="K32:S32" si="25">8500000/10</f>
        <v>850000</v>
      </c>
      <c r="L32" s="17">
        <f t="shared" si="25"/>
        <v>850000</v>
      </c>
      <c r="M32" s="17">
        <f t="shared" si="25"/>
        <v>850000</v>
      </c>
      <c r="N32" s="17">
        <f t="shared" si="25"/>
        <v>850000</v>
      </c>
      <c r="O32" s="17">
        <f t="shared" si="25"/>
        <v>850000</v>
      </c>
      <c r="P32" s="17">
        <f t="shared" si="25"/>
        <v>850000</v>
      </c>
      <c r="Q32" s="17">
        <f t="shared" si="25"/>
        <v>850000</v>
      </c>
      <c r="R32" s="17">
        <f t="shared" si="25"/>
        <v>850000</v>
      </c>
      <c r="S32" s="17">
        <f t="shared" si="25"/>
        <v>850000</v>
      </c>
      <c r="T32" s="43"/>
      <c r="U32" s="11">
        <f t="shared" si="15"/>
        <v>8500000</v>
      </c>
      <c r="V32" s="11">
        <f t="shared" si="16"/>
        <v>0</v>
      </c>
    </row>
    <row r="33" spans="1:22" ht="52.9" x14ac:dyDescent="0.3">
      <c r="A33" s="2" t="s">
        <v>67</v>
      </c>
      <c r="B33" s="3" t="s">
        <v>68</v>
      </c>
      <c r="C33" s="11">
        <v>4800000</v>
      </c>
      <c r="D33" s="12"/>
      <c r="E33" s="13"/>
      <c r="F33" s="13"/>
      <c r="G33" s="14"/>
      <c r="H33" s="27">
        <f t="shared" si="13"/>
        <v>4800000</v>
      </c>
      <c r="I33" s="16"/>
      <c r="J33" s="17">
        <f>4800000/10</f>
        <v>480000</v>
      </c>
      <c r="K33" s="17">
        <f t="shared" ref="K33:S33" si="26">4800000/10</f>
        <v>480000</v>
      </c>
      <c r="L33" s="17">
        <f t="shared" si="26"/>
        <v>480000</v>
      </c>
      <c r="M33" s="17">
        <f t="shared" si="26"/>
        <v>480000</v>
      </c>
      <c r="N33" s="17">
        <f t="shared" si="26"/>
        <v>480000</v>
      </c>
      <c r="O33" s="17">
        <f t="shared" si="26"/>
        <v>480000</v>
      </c>
      <c r="P33" s="17">
        <f t="shared" si="26"/>
        <v>480000</v>
      </c>
      <c r="Q33" s="17">
        <f t="shared" si="26"/>
        <v>480000</v>
      </c>
      <c r="R33" s="17">
        <f t="shared" si="26"/>
        <v>480000</v>
      </c>
      <c r="S33" s="17">
        <f t="shared" si="26"/>
        <v>480000</v>
      </c>
      <c r="T33" s="43"/>
      <c r="U33" s="11">
        <f t="shared" si="15"/>
        <v>4800000</v>
      </c>
      <c r="V33" s="11">
        <f t="shared" si="16"/>
        <v>0</v>
      </c>
    </row>
    <row r="34" spans="1:22" ht="52.9" x14ac:dyDescent="0.3">
      <c r="A34" s="2" t="s">
        <v>69</v>
      </c>
      <c r="B34" s="3" t="s">
        <v>70</v>
      </c>
      <c r="C34" s="11">
        <v>6500000</v>
      </c>
      <c r="D34" s="12"/>
      <c r="E34" s="13"/>
      <c r="F34" s="13"/>
      <c r="G34" s="14"/>
      <c r="H34" s="27">
        <f t="shared" si="13"/>
        <v>6500000</v>
      </c>
      <c r="I34" s="16">
        <f>6500000/12</f>
        <v>541666.66666666663</v>
      </c>
      <c r="J34" s="17">
        <f t="shared" ref="J34:T34" si="27">6500000/12</f>
        <v>541666.66666666663</v>
      </c>
      <c r="K34" s="17">
        <f t="shared" si="27"/>
        <v>541666.66666666663</v>
      </c>
      <c r="L34" s="17">
        <f t="shared" si="27"/>
        <v>541666.66666666663</v>
      </c>
      <c r="M34" s="17">
        <f t="shared" si="27"/>
        <v>541666.66666666663</v>
      </c>
      <c r="N34" s="17">
        <f t="shared" si="27"/>
        <v>541666.66666666663</v>
      </c>
      <c r="O34" s="17">
        <f t="shared" si="27"/>
        <v>541666.66666666663</v>
      </c>
      <c r="P34" s="17">
        <f t="shared" si="27"/>
        <v>541666.66666666663</v>
      </c>
      <c r="Q34" s="17">
        <f t="shared" si="27"/>
        <v>541666.66666666663</v>
      </c>
      <c r="R34" s="17">
        <f t="shared" si="27"/>
        <v>541666.66666666663</v>
      </c>
      <c r="S34" s="17">
        <f t="shared" si="27"/>
        <v>541666.66666666663</v>
      </c>
      <c r="T34" s="43">
        <f t="shared" si="27"/>
        <v>541666.66666666663</v>
      </c>
      <c r="U34" s="11">
        <f t="shared" si="15"/>
        <v>6500000.0000000009</v>
      </c>
      <c r="V34" s="11">
        <f t="shared" si="16"/>
        <v>0</v>
      </c>
    </row>
    <row r="35" spans="1:22" ht="52.9" x14ac:dyDescent="0.3">
      <c r="A35" s="2" t="s">
        <v>71</v>
      </c>
      <c r="B35" s="3" t="s">
        <v>72</v>
      </c>
      <c r="C35" s="11">
        <v>1000</v>
      </c>
      <c r="D35" s="12"/>
      <c r="E35" s="13"/>
      <c r="F35" s="13"/>
      <c r="G35" s="14"/>
      <c r="H35" s="27">
        <f t="shared" si="13"/>
        <v>1000</v>
      </c>
      <c r="I35" s="16">
        <f>1000/12</f>
        <v>83.333333333333329</v>
      </c>
      <c r="J35" s="17">
        <f t="shared" ref="J35:T36" si="28">1000/12</f>
        <v>83.333333333333329</v>
      </c>
      <c r="K35" s="17">
        <f t="shared" si="28"/>
        <v>83.333333333333329</v>
      </c>
      <c r="L35" s="17">
        <f t="shared" si="28"/>
        <v>83.333333333333329</v>
      </c>
      <c r="M35" s="17">
        <f t="shared" si="28"/>
        <v>83.333333333333329</v>
      </c>
      <c r="N35" s="17">
        <f t="shared" si="28"/>
        <v>83.333333333333329</v>
      </c>
      <c r="O35" s="17">
        <f t="shared" si="28"/>
        <v>83.333333333333329</v>
      </c>
      <c r="P35" s="17">
        <f t="shared" si="28"/>
        <v>83.333333333333329</v>
      </c>
      <c r="Q35" s="17">
        <f t="shared" si="28"/>
        <v>83.333333333333329</v>
      </c>
      <c r="R35" s="17">
        <f t="shared" si="28"/>
        <v>83.333333333333329</v>
      </c>
      <c r="S35" s="17">
        <f t="shared" si="28"/>
        <v>83.333333333333329</v>
      </c>
      <c r="T35" s="43">
        <f t="shared" si="28"/>
        <v>83.333333333333329</v>
      </c>
      <c r="U35" s="11">
        <f t="shared" si="15"/>
        <v>1000.0000000000001</v>
      </c>
      <c r="V35" s="11">
        <f t="shared" si="16"/>
        <v>0</v>
      </c>
    </row>
    <row r="36" spans="1:22" ht="39.6" x14ac:dyDescent="0.3">
      <c r="A36" s="2" t="s">
        <v>73</v>
      </c>
      <c r="B36" s="3" t="s">
        <v>74</v>
      </c>
      <c r="C36" s="11">
        <v>1000</v>
      </c>
      <c r="D36" s="12"/>
      <c r="E36" s="13"/>
      <c r="F36" s="13"/>
      <c r="G36" s="14"/>
      <c r="H36" s="27">
        <f t="shared" si="13"/>
        <v>1000</v>
      </c>
      <c r="I36" s="16">
        <f>1000/12</f>
        <v>83.333333333333329</v>
      </c>
      <c r="J36" s="17">
        <f t="shared" si="28"/>
        <v>83.333333333333329</v>
      </c>
      <c r="K36" s="17">
        <f t="shared" si="28"/>
        <v>83.333333333333329</v>
      </c>
      <c r="L36" s="17">
        <f t="shared" si="28"/>
        <v>83.333333333333329</v>
      </c>
      <c r="M36" s="17">
        <f t="shared" si="28"/>
        <v>83.333333333333329</v>
      </c>
      <c r="N36" s="17">
        <f t="shared" si="28"/>
        <v>83.333333333333329</v>
      </c>
      <c r="O36" s="17">
        <f t="shared" si="28"/>
        <v>83.333333333333329</v>
      </c>
      <c r="P36" s="17">
        <f t="shared" si="28"/>
        <v>83.333333333333329</v>
      </c>
      <c r="Q36" s="17">
        <f t="shared" si="28"/>
        <v>83.333333333333329</v>
      </c>
      <c r="R36" s="17">
        <f t="shared" si="28"/>
        <v>83.333333333333329</v>
      </c>
      <c r="S36" s="17">
        <f t="shared" si="28"/>
        <v>83.333333333333329</v>
      </c>
      <c r="T36" s="43">
        <f t="shared" si="28"/>
        <v>83.333333333333329</v>
      </c>
      <c r="U36" s="11">
        <f t="shared" si="15"/>
        <v>1000.0000000000001</v>
      </c>
      <c r="V36" s="11">
        <f t="shared" si="16"/>
        <v>0</v>
      </c>
    </row>
    <row r="37" spans="1:22" ht="13.9" thickBot="1" x14ac:dyDescent="0.35">
      <c r="A37" s="6"/>
      <c r="B37" s="7"/>
      <c r="C37" s="19"/>
      <c r="D37" s="20"/>
      <c r="E37" s="21"/>
      <c r="F37" s="21"/>
      <c r="G37" s="22"/>
      <c r="H37" s="40"/>
      <c r="I37" s="34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44"/>
      <c r="U37" s="45"/>
      <c r="V37" s="19"/>
    </row>
    <row r="38" spans="1:22" ht="13.9" thickBot="1" x14ac:dyDescent="0.35">
      <c r="A38" s="135" t="s">
        <v>26</v>
      </c>
      <c r="B38" s="136"/>
      <c r="C38" s="23">
        <f t="shared" ref="C38:V38" si="29">SUM(C22:C37)</f>
        <v>112503000</v>
      </c>
      <c r="D38" s="24">
        <f t="shared" si="29"/>
        <v>0</v>
      </c>
      <c r="E38" s="25">
        <f t="shared" si="29"/>
        <v>0</v>
      </c>
      <c r="F38" s="25">
        <f t="shared" si="29"/>
        <v>0</v>
      </c>
      <c r="G38" s="26">
        <f t="shared" si="29"/>
        <v>0</v>
      </c>
      <c r="H38" s="23">
        <f t="shared" si="29"/>
        <v>112503000</v>
      </c>
      <c r="I38" s="37">
        <f t="shared" si="29"/>
        <v>666833.33333333337</v>
      </c>
      <c r="J38" s="38">
        <f t="shared" si="29"/>
        <v>11116933.333333334</v>
      </c>
      <c r="K38" s="38">
        <f t="shared" si="29"/>
        <v>11116933.333333334</v>
      </c>
      <c r="L38" s="38">
        <f t="shared" si="29"/>
        <v>11116933.333333334</v>
      </c>
      <c r="M38" s="38">
        <f t="shared" si="29"/>
        <v>11116933.333333334</v>
      </c>
      <c r="N38" s="38">
        <f t="shared" si="29"/>
        <v>11116933.333333334</v>
      </c>
      <c r="O38" s="38">
        <f t="shared" si="29"/>
        <v>11116933.333333334</v>
      </c>
      <c r="P38" s="38">
        <f t="shared" si="29"/>
        <v>11116933.333333334</v>
      </c>
      <c r="Q38" s="38">
        <f t="shared" si="29"/>
        <v>11116933.333333334</v>
      </c>
      <c r="R38" s="38">
        <f t="shared" si="29"/>
        <v>11116933.333333334</v>
      </c>
      <c r="S38" s="38">
        <f t="shared" si="29"/>
        <v>11116933.333333334</v>
      </c>
      <c r="T38" s="39">
        <f t="shared" si="29"/>
        <v>666833.33333333337</v>
      </c>
      <c r="U38" s="23">
        <f t="shared" si="29"/>
        <v>112503000</v>
      </c>
      <c r="V38" s="23">
        <f t="shared" si="29"/>
        <v>0</v>
      </c>
    </row>
  </sheetData>
  <mergeCells count="67">
    <mergeCell ref="V20:V21"/>
    <mergeCell ref="A38:B38"/>
    <mergeCell ref="P20:P21"/>
    <mergeCell ref="Q20:Q21"/>
    <mergeCell ref="R20:R21"/>
    <mergeCell ref="S20:S21"/>
    <mergeCell ref="T20:T21"/>
    <mergeCell ref="U20:U21"/>
    <mergeCell ref="J20:J21"/>
    <mergeCell ref="K20:K21"/>
    <mergeCell ref="L20:L21"/>
    <mergeCell ref="M20:M21"/>
    <mergeCell ref="O20:O21"/>
    <mergeCell ref="A20:A21"/>
    <mergeCell ref="B20:B21"/>
    <mergeCell ref="C20:C21"/>
    <mergeCell ref="O6:O7"/>
    <mergeCell ref="P6:P7"/>
    <mergeCell ref="N20:N21"/>
    <mergeCell ref="M6:M7"/>
    <mergeCell ref="Q6:Q7"/>
    <mergeCell ref="D20:G20"/>
    <mergeCell ref="I20:I21"/>
    <mergeCell ref="F17:G17"/>
    <mergeCell ref="D8:E8"/>
    <mergeCell ref="D9:E9"/>
    <mergeCell ref="D10:E10"/>
    <mergeCell ref="D11:E11"/>
    <mergeCell ref="D12:E12"/>
    <mergeCell ref="D13:E13"/>
    <mergeCell ref="F13:G13"/>
    <mergeCell ref="D14:E14"/>
    <mergeCell ref="F14:G14"/>
    <mergeCell ref="D15:E15"/>
    <mergeCell ref="F15:G15"/>
    <mergeCell ref="L6:L7"/>
    <mergeCell ref="H20:H21"/>
    <mergeCell ref="V6:V7"/>
    <mergeCell ref="A17:B17"/>
    <mergeCell ref="A19:V19"/>
    <mergeCell ref="S6:S7"/>
    <mergeCell ref="T6:T7"/>
    <mergeCell ref="N6:N7"/>
    <mergeCell ref="D16:E16"/>
    <mergeCell ref="D17:E17"/>
    <mergeCell ref="F8:G8"/>
    <mergeCell ref="F9:G9"/>
    <mergeCell ref="F10:G10"/>
    <mergeCell ref="F11:G11"/>
    <mergeCell ref="F12:G12"/>
    <mergeCell ref="F16:G16"/>
    <mergeCell ref="U6:U7"/>
    <mergeCell ref="R6:R7"/>
    <mergeCell ref="A1:V1"/>
    <mergeCell ref="A2:V2"/>
    <mergeCell ref="A3:V3"/>
    <mergeCell ref="A5:V5"/>
    <mergeCell ref="A6:A7"/>
    <mergeCell ref="B6:B7"/>
    <mergeCell ref="C6:C7"/>
    <mergeCell ref="D6:G6"/>
    <mergeCell ref="F7:G7"/>
    <mergeCell ref="H6:H7"/>
    <mergeCell ref="D7:E7"/>
    <mergeCell ref="I6:I7"/>
    <mergeCell ref="J6:J7"/>
    <mergeCell ref="K6:K7"/>
  </mergeCells>
  <printOptions horizontalCentered="1" verticalCentered="1"/>
  <pageMargins left="0.39370078740157483" right="0.39370078740157483" top="0.39370078740157483" bottom="0.59055118110236227" header="0.39370078740157483" footer="0.39370078740157483"/>
  <pageSetup paperSize="258" scale="79" orientation="landscape" r:id="rId1"/>
  <headerFooter>
    <oddFooter>&amp;L&amp;F&amp;C&amp;A&amp;R&amp;P de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zoomScale="80" zoomScaleNormal="80" workbookViewId="0">
      <selection activeCell="L13" sqref="L13"/>
    </sheetView>
  </sheetViews>
  <sheetFormatPr baseColWidth="10" defaultColWidth="11.42578125" defaultRowHeight="12.75" x14ac:dyDescent="0.25"/>
  <cols>
    <col min="1" max="1" width="5.7109375" style="1" customWidth="1"/>
    <col min="2" max="2" width="12.7109375" style="1" customWidth="1"/>
    <col min="3" max="3" width="11.7109375" style="109" customWidth="1"/>
    <col min="4" max="4" width="10.7109375" style="109" customWidth="1"/>
    <col min="5" max="5" width="3.7109375" style="109" customWidth="1"/>
    <col min="6" max="7" width="9.7109375" style="109" customWidth="1"/>
    <col min="8" max="8" width="11.7109375" style="109" customWidth="1"/>
    <col min="9" max="10" width="10.7109375" style="109" customWidth="1"/>
    <col min="11" max="12" width="9.7109375" style="109" customWidth="1"/>
    <col min="13" max="14" width="10.7109375" style="109" customWidth="1"/>
    <col min="15" max="16" width="9.7109375" style="109" customWidth="1"/>
    <col min="17" max="17" width="7.7109375" style="109" customWidth="1"/>
    <col min="18" max="19" width="10.7109375" style="109" customWidth="1"/>
    <col min="20" max="20" width="7.7109375" style="109" customWidth="1"/>
    <col min="21" max="21" width="11.7109375" style="109" customWidth="1"/>
    <col min="22" max="22" width="9.7109375" style="109" customWidth="1"/>
    <col min="23" max="23" width="11.5703125" style="1" bestFit="1" customWidth="1"/>
    <col min="24" max="16384" width="11.42578125" style="1"/>
  </cols>
  <sheetData>
    <row r="1" spans="1:22" ht="13.15" x14ac:dyDescent="0.3">
      <c r="A1" s="124" t="s">
        <v>27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</row>
    <row r="2" spans="1:22" ht="13.15" x14ac:dyDescent="0.3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22" ht="13.15" x14ac:dyDescent="0.3">
      <c r="A3" s="124" t="s">
        <v>28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</row>
    <row r="5" spans="1:22" ht="13.9" thickBot="1" x14ac:dyDescent="0.35">
      <c r="A5" s="124" t="s">
        <v>1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</row>
    <row r="6" spans="1:22" x14ac:dyDescent="0.25">
      <c r="A6" s="125" t="s">
        <v>2</v>
      </c>
      <c r="B6" s="127" t="s">
        <v>3</v>
      </c>
      <c r="C6" s="154" t="s">
        <v>4</v>
      </c>
      <c r="D6" s="162" t="s">
        <v>5</v>
      </c>
      <c r="E6" s="163"/>
      <c r="F6" s="163"/>
      <c r="G6" s="164"/>
      <c r="H6" s="154" t="s">
        <v>8</v>
      </c>
      <c r="I6" s="165" t="s">
        <v>9</v>
      </c>
      <c r="J6" s="156" t="s">
        <v>10</v>
      </c>
      <c r="K6" s="156" t="s">
        <v>11</v>
      </c>
      <c r="L6" s="156" t="s">
        <v>12</v>
      </c>
      <c r="M6" s="156" t="s">
        <v>13</v>
      </c>
      <c r="N6" s="156" t="s">
        <v>14</v>
      </c>
      <c r="O6" s="156" t="s">
        <v>15</v>
      </c>
      <c r="P6" s="156" t="s">
        <v>16</v>
      </c>
      <c r="Q6" s="156" t="s">
        <v>17</v>
      </c>
      <c r="R6" s="156" t="s">
        <v>18</v>
      </c>
      <c r="S6" s="156" t="s">
        <v>19</v>
      </c>
      <c r="T6" s="158" t="s">
        <v>20</v>
      </c>
      <c r="U6" s="154" t="s">
        <v>21</v>
      </c>
      <c r="V6" s="154" t="s">
        <v>22</v>
      </c>
    </row>
    <row r="7" spans="1:22" ht="13.5" thickBot="1" x14ac:dyDescent="0.3">
      <c r="A7" s="126"/>
      <c r="B7" s="128"/>
      <c r="C7" s="155"/>
      <c r="D7" s="175" t="s">
        <v>6</v>
      </c>
      <c r="E7" s="176"/>
      <c r="F7" s="176" t="s">
        <v>7</v>
      </c>
      <c r="G7" s="177"/>
      <c r="H7" s="155"/>
      <c r="I7" s="186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7"/>
      <c r="U7" s="155"/>
      <c r="V7" s="155"/>
    </row>
    <row r="8" spans="1:22" ht="118.9" x14ac:dyDescent="0.3">
      <c r="A8" s="2" t="s">
        <v>29</v>
      </c>
      <c r="B8" s="3" t="s">
        <v>30</v>
      </c>
      <c r="C8" s="64">
        <v>3000000</v>
      </c>
      <c r="D8" s="178"/>
      <c r="E8" s="179"/>
      <c r="F8" s="179"/>
      <c r="G8" s="180"/>
      <c r="H8" s="65">
        <f>C8+D8-F8</f>
        <v>3000000</v>
      </c>
      <c r="I8" s="96"/>
      <c r="J8" s="97">
        <v>0</v>
      </c>
      <c r="K8" s="97">
        <v>0</v>
      </c>
      <c r="L8" s="97"/>
      <c r="M8" s="110">
        <v>810000</v>
      </c>
      <c r="N8" s="110">
        <v>3240000</v>
      </c>
      <c r="O8" s="97"/>
      <c r="P8" s="63">
        <v>810000</v>
      </c>
      <c r="Q8" s="97"/>
      <c r="R8" s="93"/>
      <c r="S8" s="93"/>
      <c r="T8" s="93"/>
      <c r="U8" s="64">
        <f>SUM(I8:T8)</f>
        <v>4860000</v>
      </c>
      <c r="V8" s="64">
        <f>H8-U8</f>
        <v>-1860000</v>
      </c>
    </row>
    <row r="9" spans="1:22" ht="52.9" x14ac:dyDescent="0.3">
      <c r="A9" s="4" t="s">
        <v>31</v>
      </c>
      <c r="B9" s="5" t="s">
        <v>32</v>
      </c>
      <c r="C9" s="70">
        <v>3300000</v>
      </c>
      <c r="D9" s="172"/>
      <c r="E9" s="173"/>
      <c r="F9" s="173"/>
      <c r="G9" s="174"/>
      <c r="H9" s="71">
        <f t="shared" ref="H9:H17" si="0">C9+D9-F9</f>
        <v>3300000</v>
      </c>
      <c r="I9" s="72">
        <v>407000</v>
      </c>
      <c r="J9" s="73">
        <v>204500</v>
      </c>
      <c r="K9" s="73">
        <v>139000</v>
      </c>
      <c r="L9" s="73">
        <v>42000</v>
      </c>
      <c r="M9" s="63">
        <v>252000</v>
      </c>
      <c r="N9" s="63">
        <v>84000</v>
      </c>
      <c r="O9" s="73">
        <v>91000</v>
      </c>
      <c r="P9" s="63">
        <v>105000</v>
      </c>
      <c r="Q9" s="63">
        <v>133000</v>
      </c>
      <c r="R9" s="74">
        <f>1842500/3</f>
        <v>614166.66666666663</v>
      </c>
      <c r="S9" s="74">
        <f t="shared" ref="S9:T9" si="1">1842500/3</f>
        <v>614166.66666666663</v>
      </c>
      <c r="T9" s="74">
        <f t="shared" si="1"/>
        <v>614166.66666666663</v>
      </c>
      <c r="U9" s="70">
        <f t="shared" ref="U9:U17" si="2">SUM(I9:T9)</f>
        <v>3299999.9999999995</v>
      </c>
      <c r="V9" s="70">
        <f t="shared" ref="V9:V17" si="3">H9-U9</f>
        <v>0</v>
      </c>
    </row>
    <row r="10" spans="1:22" ht="52.9" x14ac:dyDescent="0.3">
      <c r="A10" s="4" t="s">
        <v>33</v>
      </c>
      <c r="B10" s="5" t="s">
        <v>34</v>
      </c>
      <c r="C10" s="70">
        <v>78000000</v>
      </c>
      <c r="D10" s="172"/>
      <c r="E10" s="173"/>
      <c r="F10" s="173"/>
      <c r="G10" s="174"/>
      <c r="H10" s="71">
        <f t="shared" si="0"/>
        <v>78000000</v>
      </c>
      <c r="I10" s="72"/>
      <c r="J10" s="73">
        <v>62478528</v>
      </c>
      <c r="K10" s="73"/>
      <c r="L10" s="73"/>
      <c r="M10" s="73"/>
      <c r="N10" s="73"/>
      <c r="O10" s="73"/>
      <c r="P10" s="73"/>
      <c r="Q10" s="73"/>
      <c r="R10" s="74">
        <v>15521472</v>
      </c>
      <c r="S10" s="74"/>
      <c r="T10" s="75"/>
      <c r="U10" s="70">
        <f t="shared" si="2"/>
        <v>78000000</v>
      </c>
      <c r="V10" s="70">
        <f t="shared" si="3"/>
        <v>0</v>
      </c>
    </row>
    <row r="11" spans="1:22" ht="39.6" x14ac:dyDescent="0.3">
      <c r="A11" s="4" t="s">
        <v>35</v>
      </c>
      <c r="B11" s="5" t="s">
        <v>36</v>
      </c>
      <c r="C11" s="70">
        <v>28000000</v>
      </c>
      <c r="D11" s="172"/>
      <c r="E11" s="173"/>
      <c r="F11" s="173"/>
      <c r="G11" s="174"/>
      <c r="H11" s="71">
        <f t="shared" si="0"/>
        <v>28000000</v>
      </c>
      <c r="I11" s="72"/>
      <c r="J11" s="73"/>
      <c r="K11" s="73"/>
      <c r="L11" s="73"/>
      <c r="M11" s="73"/>
      <c r="N11" s="73"/>
      <c r="O11" s="73"/>
      <c r="P11" s="73"/>
      <c r="Q11" s="73"/>
      <c r="R11" s="74">
        <v>28000000</v>
      </c>
      <c r="S11" s="74"/>
      <c r="T11" s="75"/>
      <c r="U11" s="70">
        <f t="shared" si="2"/>
        <v>28000000</v>
      </c>
      <c r="V11" s="70">
        <f t="shared" si="3"/>
        <v>0</v>
      </c>
    </row>
    <row r="12" spans="1:22" ht="26.45" x14ac:dyDescent="0.3">
      <c r="A12" s="4" t="s">
        <v>37</v>
      </c>
      <c r="B12" s="5" t="s">
        <v>38</v>
      </c>
      <c r="C12" s="70">
        <v>200000</v>
      </c>
      <c r="D12" s="172"/>
      <c r="E12" s="173"/>
      <c r="F12" s="173"/>
      <c r="G12" s="174"/>
      <c r="H12" s="71">
        <f t="shared" si="0"/>
        <v>200000</v>
      </c>
      <c r="I12" s="72">
        <v>1100</v>
      </c>
      <c r="J12" s="73">
        <v>1787</v>
      </c>
      <c r="K12" s="73">
        <v>6206</v>
      </c>
      <c r="L12" s="63">
        <v>5859</v>
      </c>
      <c r="M12" s="63">
        <v>5872</v>
      </c>
      <c r="N12" s="63">
        <v>5641</v>
      </c>
      <c r="O12" s="73">
        <v>5794</v>
      </c>
      <c r="P12" s="63">
        <v>5254</v>
      </c>
      <c r="Q12" s="73">
        <v>3920</v>
      </c>
      <c r="R12" s="74">
        <f>158567/3</f>
        <v>52855.666666666664</v>
      </c>
      <c r="S12" s="74">
        <f t="shared" ref="S12:T12" si="4">158567/3</f>
        <v>52855.666666666664</v>
      </c>
      <c r="T12" s="74">
        <f t="shared" si="4"/>
        <v>52855.666666666664</v>
      </c>
      <c r="U12" s="70">
        <f t="shared" si="2"/>
        <v>199999.99999999997</v>
      </c>
      <c r="V12" s="70">
        <f t="shared" si="3"/>
        <v>0</v>
      </c>
    </row>
    <row r="13" spans="1:22" ht="63.75" x14ac:dyDescent="0.25">
      <c r="A13" s="116" t="s">
        <v>83</v>
      </c>
      <c r="B13" s="116" t="s">
        <v>84</v>
      </c>
      <c r="C13" s="76">
        <v>0</v>
      </c>
      <c r="D13" s="172"/>
      <c r="E13" s="173"/>
      <c r="F13" s="173"/>
      <c r="G13" s="174"/>
      <c r="H13" s="71">
        <f t="shared" si="0"/>
        <v>0</v>
      </c>
      <c r="I13" s="77"/>
      <c r="J13" s="78"/>
      <c r="K13" s="78"/>
      <c r="L13" s="117"/>
      <c r="M13" s="117"/>
      <c r="N13" s="117"/>
      <c r="O13" s="78"/>
      <c r="P13" s="117"/>
      <c r="Q13" s="78">
        <v>500000</v>
      </c>
      <c r="R13" s="79"/>
      <c r="S13" s="79"/>
      <c r="T13" s="80"/>
      <c r="U13" s="70">
        <f t="shared" si="2"/>
        <v>500000</v>
      </c>
      <c r="V13" s="70">
        <f t="shared" si="3"/>
        <v>-500000</v>
      </c>
    </row>
    <row r="14" spans="1:22" ht="25.5" x14ac:dyDescent="0.25">
      <c r="A14" s="6" t="s">
        <v>39</v>
      </c>
      <c r="B14" s="7" t="s">
        <v>40</v>
      </c>
      <c r="C14" s="76">
        <v>1000</v>
      </c>
      <c r="D14" s="172">
        <v>1075935</v>
      </c>
      <c r="E14" s="173"/>
      <c r="F14" s="173"/>
      <c r="G14" s="174"/>
      <c r="H14" s="71">
        <f t="shared" si="0"/>
        <v>1076935</v>
      </c>
      <c r="I14" s="77">
        <v>1075935</v>
      </c>
      <c r="J14" s="78"/>
      <c r="K14" s="78"/>
      <c r="L14" s="78"/>
      <c r="M14" s="78"/>
      <c r="N14" s="78"/>
      <c r="O14" s="78"/>
      <c r="P14" s="78"/>
      <c r="Q14" s="78"/>
      <c r="R14" s="79">
        <v>1000</v>
      </c>
      <c r="S14" s="79"/>
      <c r="T14" s="80"/>
      <c r="U14" s="70">
        <f t="shared" si="2"/>
        <v>1076935</v>
      </c>
      <c r="V14" s="70">
        <f t="shared" si="3"/>
        <v>0</v>
      </c>
    </row>
    <row r="15" spans="1:22" ht="25.5" x14ac:dyDescent="0.25">
      <c r="A15" s="6" t="s">
        <v>41</v>
      </c>
      <c r="B15" s="7" t="s">
        <v>42</v>
      </c>
      <c r="C15" s="76">
        <v>1000</v>
      </c>
      <c r="D15" s="172">
        <v>30546317</v>
      </c>
      <c r="E15" s="173"/>
      <c r="F15" s="173"/>
      <c r="G15" s="174"/>
      <c r="H15" s="71">
        <f t="shared" si="0"/>
        <v>30547317</v>
      </c>
      <c r="I15" s="77">
        <v>30546317</v>
      </c>
      <c r="J15" s="78"/>
      <c r="K15" s="78"/>
      <c r="L15" s="78"/>
      <c r="M15" s="78"/>
      <c r="N15" s="78"/>
      <c r="O15" s="78"/>
      <c r="P15" s="78"/>
      <c r="Q15" s="78"/>
      <c r="R15" s="79">
        <v>1000</v>
      </c>
      <c r="S15" s="79"/>
      <c r="T15" s="80"/>
      <c r="U15" s="70">
        <f t="shared" si="2"/>
        <v>30547317</v>
      </c>
      <c r="V15" s="70">
        <f t="shared" si="3"/>
        <v>0</v>
      </c>
    </row>
    <row r="16" spans="1:22" ht="25.5" x14ac:dyDescent="0.25">
      <c r="A16" s="6" t="s">
        <v>43</v>
      </c>
      <c r="B16" s="7" t="s">
        <v>44</v>
      </c>
      <c r="C16" s="76">
        <v>1000</v>
      </c>
      <c r="D16" s="172">
        <v>19939560</v>
      </c>
      <c r="E16" s="173"/>
      <c r="F16" s="173"/>
      <c r="G16" s="174"/>
      <c r="H16" s="71">
        <f t="shared" si="0"/>
        <v>19940560</v>
      </c>
      <c r="I16" s="77">
        <v>19939560</v>
      </c>
      <c r="J16" s="78"/>
      <c r="K16" s="78"/>
      <c r="L16" s="78"/>
      <c r="M16" s="78"/>
      <c r="N16" s="78"/>
      <c r="O16" s="78"/>
      <c r="P16" s="78"/>
      <c r="Q16" s="78"/>
      <c r="R16" s="79">
        <v>1000</v>
      </c>
      <c r="S16" s="79"/>
      <c r="T16" s="80"/>
      <c r="U16" s="70">
        <f t="shared" si="2"/>
        <v>19940560</v>
      </c>
      <c r="V16" s="70">
        <f t="shared" si="3"/>
        <v>0</v>
      </c>
    </row>
    <row r="17" spans="1:22" ht="13.5" thickBot="1" x14ac:dyDescent="0.3">
      <c r="A17" s="6"/>
      <c r="B17" s="7"/>
      <c r="C17" s="76"/>
      <c r="D17" s="167"/>
      <c r="E17" s="168"/>
      <c r="F17" s="168"/>
      <c r="G17" s="169"/>
      <c r="H17" s="71">
        <f t="shared" si="0"/>
        <v>0</v>
      </c>
      <c r="I17" s="81"/>
      <c r="J17" s="82"/>
      <c r="K17" s="82"/>
      <c r="L17" s="82"/>
      <c r="M17" s="82"/>
      <c r="N17" s="82"/>
      <c r="O17" s="82"/>
      <c r="P17" s="82"/>
      <c r="Q17" s="82"/>
      <c r="R17" s="83"/>
      <c r="S17" s="83"/>
      <c r="T17" s="84"/>
      <c r="U17" s="70">
        <f t="shared" si="2"/>
        <v>0</v>
      </c>
      <c r="V17" s="70">
        <f t="shared" si="3"/>
        <v>0</v>
      </c>
    </row>
    <row r="18" spans="1:22" ht="13.5" thickBot="1" x14ac:dyDescent="0.3">
      <c r="A18" s="135" t="s">
        <v>26</v>
      </c>
      <c r="B18" s="136"/>
      <c r="C18" s="85">
        <f>SUM(C8:C17)</f>
        <v>112503000</v>
      </c>
      <c r="D18" s="170">
        <f>SUM(D8:E17)</f>
        <v>51561812</v>
      </c>
      <c r="E18" s="171"/>
      <c r="F18" s="170">
        <f>SUM(F8:G17)</f>
        <v>0</v>
      </c>
      <c r="G18" s="171"/>
      <c r="H18" s="85">
        <f t="shared" ref="H18:V18" si="5">SUM(H8:H17)</f>
        <v>164064812</v>
      </c>
      <c r="I18" s="86">
        <f t="shared" si="5"/>
        <v>51969912</v>
      </c>
      <c r="J18" s="87">
        <f t="shared" si="5"/>
        <v>62684815</v>
      </c>
      <c r="K18" s="87">
        <f t="shared" si="5"/>
        <v>145206</v>
      </c>
      <c r="L18" s="87">
        <f t="shared" si="5"/>
        <v>47859</v>
      </c>
      <c r="M18" s="87">
        <f t="shared" si="5"/>
        <v>1067872</v>
      </c>
      <c r="N18" s="111">
        <f t="shared" si="5"/>
        <v>3329641</v>
      </c>
      <c r="O18" s="87">
        <f t="shared" si="5"/>
        <v>96794</v>
      </c>
      <c r="P18" s="87">
        <f t="shared" si="5"/>
        <v>920254</v>
      </c>
      <c r="Q18" s="87">
        <f t="shared" si="5"/>
        <v>636920</v>
      </c>
      <c r="R18" s="87">
        <f t="shared" si="5"/>
        <v>44191494.333333328</v>
      </c>
      <c r="S18" s="87">
        <f t="shared" si="5"/>
        <v>667022.33333333326</v>
      </c>
      <c r="T18" s="88">
        <f t="shared" si="5"/>
        <v>667022.33333333326</v>
      </c>
      <c r="U18" s="85">
        <f t="shared" si="5"/>
        <v>166424812</v>
      </c>
      <c r="V18" s="85">
        <f t="shared" si="5"/>
        <v>-2360000</v>
      </c>
    </row>
    <row r="20" spans="1:22" ht="13.5" thickBot="1" x14ac:dyDescent="0.3">
      <c r="A20" s="124" t="s">
        <v>23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</row>
    <row r="21" spans="1:22" x14ac:dyDescent="0.25">
      <c r="A21" s="133" t="s">
        <v>2</v>
      </c>
      <c r="B21" s="127" t="s">
        <v>3</v>
      </c>
      <c r="C21" s="154" t="s">
        <v>4</v>
      </c>
      <c r="D21" s="162" t="s">
        <v>5</v>
      </c>
      <c r="E21" s="163"/>
      <c r="F21" s="163"/>
      <c r="G21" s="164"/>
      <c r="H21" s="154" t="s">
        <v>8</v>
      </c>
      <c r="I21" s="165" t="s">
        <v>9</v>
      </c>
      <c r="J21" s="156" t="s">
        <v>10</v>
      </c>
      <c r="K21" s="156" t="s">
        <v>11</v>
      </c>
      <c r="L21" s="156" t="s">
        <v>12</v>
      </c>
      <c r="M21" s="156" t="s">
        <v>13</v>
      </c>
      <c r="N21" s="156" t="s">
        <v>14</v>
      </c>
      <c r="O21" s="156" t="s">
        <v>15</v>
      </c>
      <c r="P21" s="156" t="s">
        <v>16</v>
      </c>
      <c r="Q21" s="156" t="s">
        <v>17</v>
      </c>
      <c r="R21" s="156" t="s">
        <v>18</v>
      </c>
      <c r="S21" s="156" t="s">
        <v>19</v>
      </c>
      <c r="T21" s="158" t="s">
        <v>20</v>
      </c>
      <c r="U21" s="160" t="s">
        <v>21</v>
      </c>
      <c r="V21" s="154" t="s">
        <v>22</v>
      </c>
    </row>
    <row r="22" spans="1:22" ht="77.25" thickBot="1" x14ac:dyDescent="0.3">
      <c r="A22" s="149"/>
      <c r="B22" s="128"/>
      <c r="C22" s="155"/>
      <c r="D22" s="89" t="s">
        <v>6</v>
      </c>
      <c r="E22" s="90" t="s">
        <v>7</v>
      </c>
      <c r="F22" s="90" t="s">
        <v>24</v>
      </c>
      <c r="G22" s="91" t="s">
        <v>25</v>
      </c>
      <c r="H22" s="155"/>
      <c r="I22" s="166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9"/>
      <c r="U22" s="161"/>
      <c r="V22" s="155"/>
    </row>
    <row r="23" spans="1:22" ht="63.75" x14ac:dyDescent="0.25">
      <c r="A23" s="2" t="s">
        <v>75</v>
      </c>
      <c r="B23" s="3" t="s">
        <v>76</v>
      </c>
      <c r="C23" s="64">
        <v>0</v>
      </c>
      <c r="D23" s="92">
        <v>19939560</v>
      </c>
      <c r="E23" s="93"/>
      <c r="F23" s="93"/>
      <c r="G23" s="94">
        <v>543060</v>
      </c>
      <c r="H23" s="65">
        <f>C23+D23-E23+F23-G23</f>
        <v>19396500</v>
      </c>
      <c r="I23" s="66"/>
      <c r="J23" s="67"/>
      <c r="K23" s="67"/>
      <c r="L23" s="67"/>
      <c r="M23" s="63">
        <v>18914500</v>
      </c>
      <c r="N23" s="67"/>
      <c r="O23" s="67"/>
      <c r="P23" s="67"/>
      <c r="Q23" s="67"/>
      <c r="R23" s="68">
        <f>482000/2</f>
        <v>241000</v>
      </c>
      <c r="S23" s="68">
        <f t="shared" ref="S23" si="6">482000/2</f>
        <v>241000</v>
      </c>
      <c r="T23" s="69"/>
      <c r="U23" s="95">
        <f>SUM(I23:T23)</f>
        <v>19396500</v>
      </c>
      <c r="V23" s="64">
        <f>H23-U23</f>
        <v>0</v>
      </c>
    </row>
    <row r="24" spans="1:22" ht="51" x14ac:dyDescent="0.25">
      <c r="A24" s="2" t="s">
        <v>45</v>
      </c>
      <c r="B24" s="3" t="s">
        <v>46</v>
      </c>
      <c r="C24" s="64">
        <v>18500000</v>
      </c>
      <c r="D24" s="92"/>
      <c r="E24" s="93"/>
      <c r="F24" s="93"/>
      <c r="G24" s="94"/>
      <c r="H24" s="65">
        <f t="shared" ref="H24:H43" si="7">C24+D24-E24+F24-G24</f>
        <v>18500000</v>
      </c>
      <c r="I24" s="96"/>
      <c r="J24" s="97"/>
      <c r="K24" s="97"/>
      <c r="L24" s="97"/>
      <c r="M24" s="97"/>
      <c r="N24" s="97"/>
      <c r="O24" s="97"/>
      <c r="P24" s="97"/>
      <c r="Q24" s="97"/>
      <c r="R24" s="93">
        <f>18500000/2</f>
        <v>9250000</v>
      </c>
      <c r="S24" s="93">
        <f>18500000/2</f>
        <v>9250000</v>
      </c>
      <c r="T24" s="98"/>
      <c r="U24" s="99">
        <f t="shared" ref="U24:U43" si="8">SUM(I24:T24)</f>
        <v>18500000</v>
      </c>
      <c r="V24" s="64">
        <f t="shared" ref="V24:V43" si="9">H24-U24</f>
        <v>0</v>
      </c>
    </row>
    <row r="25" spans="1:22" ht="63.75" x14ac:dyDescent="0.25">
      <c r="A25" s="2" t="s">
        <v>77</v>
      </c>
      <c r="B25" s="3" t="s">
        <v>78</v>
      </c>
      <c r="C25" s="64">
        <v>0</v>
      </c>
      <c r="D25" s="92">
        <v>16000000</v>
      </c>
      <c r="E25" s="93"/>
      <c r="F25" s="93"/>
      <c r="G25" s="94">
        <v>1808750</v>
      </c>
      <c r="H25" s="65">
        <f t="shared" si="7"/>
        <v>14191250</v>
      </c>
      <c r="I25" s="96"/>
      <c r="J25" s="97"/>
      <c r="K25" s="97"/>
      <c r="L25" s="97"/>
      <c r="M25" s="97"/>
      <c r="N25" s="63">
        <v>13781100</v>
      </c>
      <c r="O25" s="97"/>
      <c r="P25" s="97"/>
      <c r="Q25" s="97"/>
      <c r="R25" s="93">
        <f>410150/2</f>
        <v>205075</v>
      </c>
      <c r="S25" s="93">
        <f t="shared" ref="S25" si="10">410150/2</f>
        <v>205075</v>
      </c>
      <c r="T25" s="93"/>
      <c r="U25" s="99">
        <f t="shared" si="8"/>
        <v>14191250</v>
      </c>
      <c r="V25" s="64">
        <f t="shared" si="9"/>
        <v>0</v>
      </c>
    </row>
    <row r="26" spans="1:22" ht="38.25" x14ac:dyDescent="0.25">
      <c r="A26" s="2" t="s">
        <v>47</v>
      </c>
      <c r="B26" s="3" t="s">
        <v>48</v>
      </c>
      <c r="C26" s="64">
        <v>14000000</v>
      </c>
      <c r="D26" s="92"/>
      <c r="E26" s="93"/>
      <c r="F26" s="93"/>
      <c r="G26" s="94"/>
      <c r="H26" s="65">
        <f t="shared" si="7"/>
        <v>14000000</v>
      </c>
      <c r="I26" s="72"/>
      <c r="J26" s="73"/>
      <c r="K26" s="73"/>
      <c r="L26" s="73"/>
      <c r="M26" s="73"/>
      <c r="N26" s="63">
        <v>13008569.92</v>
      </c>
      <c r="O26" s="73"/>
      <c r="P26" s="73"/>
      <c r="Q26" s="73"/>
      <c r="R26" s="74">
        <f>991430/2</f>
        <v>495715</v>
      </c>
      <c r="S26" s="74">
        <f>991430/2</f>
        <v>495715</v>
      </c>
      <c r="T26" s="75"/>
      <c r="U26" s="99">
        <f t="shared" si="8"/>
        <v>13999999.92</v>
      </c>
      <c r="V26" s="64">
        <f t="shared" si="9"/>
        <v>8.0000000074505806E-2</v>
      </c>
    </row>
    <row r="27" spans="1:22" ht="51" x14ac:dyDescent="0.25">
      <c r="A27" s="2" t="s">
        <v>49</v>
      </c>
      <c r="B27" s="3" t="s">
        <v>50</v>
      </c>
      <c r="C27" s="64">
        <v>1000</v>
      </c>
      <c r="D27" s="92"/>
      <c r="E27" s="93"/>
      <c r="F27" s="93"/>
      <c r="G27" s="94"/>
      <c r="H27" s="65">
        <f t="shared" si="7"/>
        <v>1000</v>
      </c>
      <c r="I27" s="72"/>
      <c r="J27" s="73"/>
      <c r="K27" s="73"/>
      <c r="L27" s="73"/>
      <c r="M27" s="73"/>
      <c r="N27" s="73"/>
      <c r="O27" s="73"/>
      <c r="P27" s="73"/>
      <c r="Q27" s="73"/>
      <c r="R27" s="74">
        <f>1000/2</f>
        <v>500</v>
      </c>
      <c r="S27" s="74">
        <f>1000/2</f>
        <v>500</v>
      </c>
      <c r="T27" s="75"/>
      <c r="U27" s="99">
        <f t="shared" si="8"/>
        <v>1000</v>
      </c>
      <c r="V27" s="64">
        <f t="shared" si="9"/>
        <v>0</v>
      </c>
    </row>
    <row r="28" spans="1:22" ht="38.25" x14ac:dyDescent="0.25">
      <c r="A28" s="2" t="s">
        <v>51</v>
      </c>
      <c r="B28" s="3" t="s">
        <v>52</v>
      </c>
      <c r="C28" s="64">
        <v>20000000</v>
      </c>
      <c r="D28" s="92"/>
      <c r="E28" s="93"/>
      <c r="F28" s="93"/>
      <c r="G28" s="94"/>
      <c r="H28" s="65">
        <f t="shared" si="7"/>
        <v>20000000</v>
      </c>
      <c r="I28" s="72"/>
      <c r="J28" s="73"/>
      <c r="K28" s="73"/>
      <c r="L28" s="73"/>
      <c r="M28" s="73"/>
      <c r="N28" s="73"/>
      <c r="O28" s="73"/>
      <c r="P28" s="73"/>
      <c r="Q28" s="73"/>
      <c r="R28" s="74">
        <f>20000000/2</f>
        <v>10000000</v>
      </c>
      <c r="S28" s="74">
        <f>20000000/2</f>
        <v>10000000</v>
      </c>
      <c r="T28" s="75"/>
      <c r="U28" s="99">
        <f t="shared" si="8"/>
        <v>20000000</v>
      </c>
      <c r="V28" s="64">
        <f t="shared" si="9"/>
        <v>0</v>
      </c>
    </row>
    <row r="29" spans="1:22" ht="38.25" x14ac:dyDescent="0.25">
      <c r="A29" s="2" t="s">
        <v>53</v>
      </c>
      <c r="B29" s="3" t="s">
        <v>54</v>
      </c>
      <c r="C29" s="64">
        <v>2300000</v>
      </c>
      <c r="D29" s="92"/>
      <c r="E29" s="93"/>
      <c r="F29" s="93"/>
      <c r="G29" s="94"/>
      <c r="H29" s="65">
        <f t="shared" si="7"/>
        <v>2300000</v>
      </c>
      <c r="I29" s="72"/>
      <c r="J29" s="73"/>
      <c r="K29" s="73"/>
      <c r="L29" s="73"/>
      <c r="M29" s="73"/>
      <c r="N29" s="73"/>
      <c r="O29" s="73"/>
      <c r="P29" s="73"/>
      <c r="Q29" s="73"/>
      <c r="R29" s="74">
        <f>2300000/2</f>
        <v>1150000</v>
      </c>
      <c r="S29" s="74">
        <f>2300000/2</f>
        <v>1150000</v>
      </c>
      <c r="T29" s="75"/>
      <c r="U29" s="99">
        <f t="shared" si="8"/>
        <v>2300000</v>
      </c>
      <c r="V29" s="64">
        <f t="shared" si="9"/>
        <v>0</v>
      </c>
    </row>
    <row r="30" spans="1:22" ht="51" x14ac:dyDescent="0.25">
      <c r="A30" s="2" t="s">
        <v>85</v>
      </c>
      <c r="B30" s="3" t="s">
        <v>86</v>
      </c>
      <c r="C30" s="64">
        <v>0</v>
      </c>
      <c r="D30" s="92">
        <v>0</v>
      </c>
      <c r="E30" s="93">
        <v>0</v>
      </c>
      <c r="F30" s="93">
        <v>1808750</v>
      </c>
      <c r="G30" s="94">
        <v>0</v>
      </c>
      <c r="H30" s="65">
        <f t="shared" si="7"/>
        <v>1808750</v>
      </c>
      <c r="I30" s="72"/>
      <c r="J30" s="73"/>
      <c r="K30" s="73"/>
      <c r="L30" s="73"/>
      <c r="M30" s="73"/>
      <c r="N30" s="73"/>
      <c r="O30" s="73"/>
      <c r="P30" s="73"/>
      <c r="Q30" s="73"/>
      <c r="R30" s="74">
        <f>1808750/2</f>
        <v>904375</v>
      </c>
      <c r="S30" s="74">
        <f t="shared" ref="S30" si="11">1808750/2</f>
        <v>904375</v>
      </c>
      <c r="T30" s="75"/>
      <c r="U30" s="99">
        <f t="shared" ref="U30:U31" si="12">SUM(I30:T30)</f>
        <v>1808750</v>
      </c>
      <c r="V30" s="64">
        <f t="shared" ref="V30:V31" si="13">H30-U30</f>
        <v>0</v>
      </c>
    </row>
    <row r="31" spans="1:22" ht="51" x14ac:dyDescent="0.25">
      <c r="A31" s="2" t="s">
        <v>87</v>
      </c>
      <c r="B31" s="3" t="s">
        <v>88</v>
      </c>
      <c r="C31" s="64">
        <v>0</v>
      </c>
      <c r="D31" s="92">
        <v>0</v>
      </c>
      <c r="E31" s="93">
        <v>0</v>
      </c>
      <c r="F31" s="93">
        <v>543060</v>
      </c>
      <c r="G31" s="94">
        <v>0</v>
      </c>
      <c r="H31" s="65">
        <f t="shared" si="7"/>
        <v>543060</v>
      </c>
      <c r="I31" s="72"/>
      <c r="J31" s="73"/>
      <c r="K31" s="73"/>
      <c r="L31" s="73"/>
      <c r="M31" s="73"/>
      <c r="N31" s="73"/>
      <c r="O31" s="73"/>
      <c r="P31" s="73"/>
      <c r="Q31" s="73"/>
      <c r="R31" s="74">
        <f>543060/2</f>
        <v>271530</v>
      </c>
      <c r="S31" s="74">
        <f t="shared" ref="S31" si="14">543060/2</f>
        <v>271530</v>
      </c>
      <c r="T31" s="75"/>
      <c r="U31" s="99">
        <f t="shared" si="12"/>
        <v>543060</v>
      </c>
      <c r="V31" s="64">
        <f t="shared" si="13"/>
        <v>0</v>
      </c>
    </row>
    <row r="32" spans="1:22" ht="38.25" x14ac:dyDescent="0.25">
      <c r="A32" s="2" t="s">
        <v>55</v>
      </c>
      <c r="B32" s="3" t="s">
        <v>56</v>
      </c>
      <c r="C32" s="64">
        <v>200000</v>
      </c>
      <c r="D32" s="92"/>
      <c r="E32" s="93"/>
      <c r="F32" s="93"/>
      <c r="G32" s="94"/>
      <c r="H32" s="65">
        <f t="shared" si="7"/>
        <v>200000</v>
      </c>
      <c r="I32" s="72"/>
      <c r="J32" s="73"/>
      <c r="K32" s="73"/>
      <c r="L32" s="73"/>
      <c r="M32" s="73"/>
      <c r="N32" s="73"/>
      <c r="O32" s="73"/>
      <c r="P32" s="73"/>
      <c r="Q32" s="73"/>
      <c r="R32" s="74">
        <f>200000/2</f>
        <v>100000</v>
      </c>
      <c r="S32" s="74">
        <f>200000/2</f>
        <v>100000</v>
      </c>
      <c r="T32" s="75"/>
      <c r="U32" s="99">
        <f t="shared" si="8"/>
        <v>200000</v>
      </c>
      <c r="V32" s="64">
        <f t="shared" si="9"/>
        <v>0</v>
      </c>
    </row>
    <row r="33" spans="1:22" ht="51" x14ac:dyDescent="0.25">
      <c r="A33" s="2" t="s">
        <v>57</v>
      </c>
      <c r="B33" s="3" t="s">
        <v>58</v>
      </c>
      <c r="C33" s="64">
        <v>1500000</v>
      </c>
      <c r="D33" s="92"/>
      <c r="E33" s="93"/>
      <c r="F33" s="93"/>
      <c r="G33" s="94"/>
      <c r="H33" s="65">
        <f t="shared" si="7"/>
        <v>1500000</v>
      </c>
      <c r="I33" s="72">
        <v>146251</v>
      </c>
      <c r="J33" s="73">
        <v>114597</v>
      </c>
      <c r="K33" s="73">
        <v>100257</v>
      </c>
      <c r="L33" s="73"/>
      <c r="M33" s="63">
        <v>82943</v>
      </c>
      <c r="N33" s="63">
        <v>82943</v>
      </c>
      <c r="O33" s="73">
        <v>82943</v>
      </c>
      <c r="P33" s="63">
        <v>82943</v>
      </c>
      <c r="Q33" s="73">
        <v>407575</v>
      </c>
      <c r="R33" s="74">
        <f>399548/2</f>
        <v>199774</v>
      </c>
      <c r="S33" s="74">
        <f>399548/2</f>
        <v>199774</v>
      </c>
      <c r="T33" s="74"/>
      <c r="U33" s="99">
        <f t="shared" si="8"/>
        <v>1500000</v>
      </c>
      <c r="V33" s="64">
        <f t="shared" si="9"/>
        <v>0</v>
      </c>
    </row>
    <row r="34" spans="1:22" ht="51" x14ac:dyDescent="0.25">
      <c r="A34" s="2" t="s">
        <v>79</v>
      </c>
      <c r="B34" s="3" t="s">
        <v>80</v>
      </c>
      <c r="C34" s="64">
        <v>0</v>
      </c>
      <c r="D34" s="92">
        <v>1075935</v>
      </c>
      <c r="E34" s="93"/>
      <c r="F34" s="93"/>
      <c r="G34" s="94"/>
      <c r="H34" s="65">
        <f t="shared" si="7"/>
        <v>1075935</v>
      </c>
      <c r="I34" s="72"/>
      <c r="J34" s="73"/>
      <c r="K34" s="73"/>
      <c r="L34" s="63">
        <v>82943</v>
      </c>
      <c r="M34" s="73"/>
      <c r="N34" s="73"/>
      <c r="O34" s="73"/>
      <c r="P34" s="73"/>
      <c r="Q34" s="73"/>
      <c r="R34" s="74">
        <f>992992/3</f>
        <v>330997.33333333331</v>
      </c>
      <c r="S34" s="74">
        <f t="shared" ref="S34:T34" si="15">992992/3</f>
        <v>330997.33333333331</v>
      </c>
      <c r="T34" s="74">
        <f t="shared" si="15"/>
        <v>330997.33333333331</v>
      </c>
      <c r="U34" s="99">
        <f t="shared" si="8"/>
        <v>1075935</v>
      </c>
      <c r="V34" s="64">
        <f t="shared" si="9"/>
        <v>0</v>
      </c>
    </row>
    <row r="35" spans="1:22" ht="51" x14ac:dyDescent="0.25">
      <c r="A35" s="2" t="s">
        <v>59</v>
      </c>
      <c r="B35" s="3" t="s">
        <v>60</v>
      </c>
      <c r="C35" s="64">
        <v>5000000</v>
      </c>
      <c r="D35" s="92"/>
      <c r="E35" s="93"/>
      <c r="F35" s="93"/>
      <c r="G35" s="94"/>
      <c r="H35" s="65">
        <f t="shared" si="7"/>
        <v>5000000</v>
      </c>
      <c r="I35" s="72"/>
      <c r="J35" s="73"/>
      <c r="K35" s="73"/>
      <c r="L35" s="73"/>
      <c r="M35" s="73"/>
      <c r="N35" s="73"/>
      <c r="O35" s="73">
        <v>4405397</v>
      </c>
      <c r="P35" s="73"/>
      <c r="Q35" s="73"/>
      <c r="R35" s="74">
        <f>594603/2</f>
        <v>297301.5</v>
      </c>
      <c r="S35" s="74">
        <f>594603/2</f>
        <v>297301.5</v>
      </c>
      <c r="T35" s="75"/>
      <c r="U35" s="99">
        <f t="shared" si="8"/>
        <v>5000000</v>
      </c>
      <c r="V35" s="64">
        <f t="shared" si="9"/>
        <v>0</v>
      </c>
    </row>
    <row r="36" spans="1:22" ht="51" x14ac:dyDescent="0.25">
      <c r="A36" s="2" t="s">
        <v>61</v>
      </c>
      <c r="B36" s="3" t="s">
        <v>62</v>
      </c>
      <c r="C36" s="64">
        <v>24000000</v>
      </c>
      <c r="D36" s="92"/>
      <c r="E36" s="93"/>
      <c r="F36" s="93"/>
      <c r="G36" s="94"/>
      <c r="H36" s="65">
        <f t="shared" si="7"/>
        <v>24000000</v>
      </c>
      <c r="I36" s="72"/>
      <c r="J36" s="73"/>
      <c r="K36" s="73"/>
      <c r="L36" s="73"/>
      <c r="M36" s="73"/>
      <c r="N36" s="73"/>
      <c r="O36" s="73"/>
      <c r="P36" s="63">
        <v>5332000</v>
      </c>
      <c r="Q36" s="73"/>
      <c r="R36" s="74">
        <f>18668000/2</f>
        <v>9334000</v>
      </c>
      <c r="S36" s="74">
        <f>18668000/2</f>
        <v>9334000</v>
      </c>
      <c r="T36" s="75"/>
      <c r="U36" s="99">
        <f t="shared" si="8"/>
        <v>24000000</v>
      </c>
      <c r="V36" s="64">
        <f t="shared" si="9"/>
        <v>0</v>
      </c>
    </row>
    <row r="37" spans="1:22" ht="51" x14ac:dyDescent="0.25">
      <c r="A37" s="2" t="s">
        <v>81</v>
      </c>
      <c r="B37" s="3" t="s">
        <v>82</v>
      </c>
      <c r="C37" s="64">
        <v>0</v>
      </c>
      <c r="D37" s="92">
        <v>8000000</v>
      </c>
      <c r="E37" s="93"/>
      <c r="F37" s="93"/>
      <c r="G37" s="94"/>
      <c r="H37" s="65">
        <f t="shared" si="7"/>
        <v>8000000</v>
      </c>
      <c r="I37" s="72"/>
      <c r="J37" s="73"/>
      <c r="K37" s="73">
        <v>2000000</v>
      </c>
      <c r="L37" s="63">
        <v>2000000</v>
      </c>
      <c r="M37" s="63">
        <v>2000000</v>
      </c>
      <c r="N37" s="63">
        <v>2000000</v>
      </c>
      <c r="O37" s="73"/>
      <c r="P37" s="118"/>
      <c r="Q37" s="73"/>
      <c r="R37" s="74"/>
      <c r="S37" s="74"/>
      <c r="T37" s="75"/>
      <c r="U37" s="99">
        <f t="shared" si="8"/>
        <v>8000000</v>
      </c>
      <c r="V37" s="64">
        <f t="shared" si="9"/>
        <v>0</v>
      </c>
    </row>
    <row r="38" spans="1:22" ht="51" x14ac:dyDescent="0.25">
      <c r="A38" s="2" t="s">
        <v>63</v>
      </c>
      <c r="B38" s="3" t="s">
        <v>64</v>
      </c>
      <c r="C38" s="64">
        <v>7200000</v>
      </c>
      <c r="D38" s="92"/>
      <c r="E38" s="93"/>
      <c r="F38" s="93"/>
      <c r="G38" s="94"/>
      <c r="H38" s="65">
        <f t="shared" si="7"/>
        <v>7200000</v>
      </c>
      <c r="I38" s="72"/>
      <c r="J38" s="73"/>
      <c r="K38" s="73"/>
      <c r="L38" s="73"/>
      <c r="M38" s="73"/>
      <c r="N38" s="73"/>
      <c r="O38" s="73"/>
      <c r="P38" s="73"/>
      <c r="Q38" s="73"/>
      <c r="R38" s="74">
        <f>7200000/2</f>
        <v>3600000</v>
      </c>
      <c r="S38" s="74">
        <f>7200000/2</f>
        <v>3600000</v>
      </c>
      <c r="T38" s="75"/>
      <c r="U38" s="99">
        <f t="shared" si="8"/>
        <v>7200000</v>
      </c>
      <c r="V38" s="64">
        <f t="shared" si="9"/>
        <v>0</v>
      </c>
    </row>
    <row r="39" spans="1:22" ht="51" x14ac:dyDescent="0.25">
      <c r="A39" s="2" t="s">
        <v>65</v>
      </c>
      <c r="B39" s="3" t="s">
        <v>66</v>
      </c>
      <c r="C39" s="64">
        <v>8500000</v>
      </c>
      <c r="D39" s="92"/>
      <c r="E39" s="93"/>
      <c r="F39" s="93"/>
      <c r="G39" s="94"/>
      <c r="H39" s="65">
        <f t="shared" si="7"/>
        <v>8500000</v>
      </c>
      <c r="I39" s="72"/>
      <c r="J39" s="73"/>
      <c r="K39" s="73"/>
      <c r="L39" s="73"/>
      <c r="M39" s="73"/>
      <c r="N39" s="73"/>
      <c r="O39" s="73"/>
      <c r="P39" s="73"/>
      <c r="Q39" s="73"/>
      <c r="R39" s="74">
        <f>8500000/2</f>
        <v>4250000</v>
      </c>
      <c r="S39" s="74">
        <f>8500000/2</f>
        <v>4250000</v>
      </c>
      <c r="T39" s="75"/>
      <c r="U39" s="99">
        <f t="shared" si="8"/>
        <v>8500000</v>
      </c>
      <c r="V39" s="64">
        <f t="shared" si="9"/>
        <v>0</v>
      </c>
    </row>
    <row r="40" spans="1:22" ht="51" x14ac:dyDescent="0.25">
      <c r="A40" s="2" t="s">
        <v>67</v>
      </c>
      <c r="B40" s="3" t="s">
        <v>68</v>
      </c>
      <c r="C40" s="64">
        <v>4800000</v>
      </c>
      <c r="D40" s="92"/>
      <c r="E40" s="93"/>
      <c r="F40" s="93"/>
      <c r="G40" s="94"/>
      <c r="H40" s="65">
        <f t="shared" si="7"/>
        <v>4800000</v>
      </c>
      <c r="I40" s="72"/>
      <c r="J40" s="73"/>
      <c r="K40" s="73"/>
      <c r="L40" s="73"/>
      <c r="M40" s="73"/>
      <c r="N40" s="73"/>
      <c r="O40" s="73"/>
      <c r="P40" s="73"/>
      <c r="Q40" s="73"/>
      <c r="R40" s="74">
        <f>4800000/2</f>
        <v>2400000</v>
      </c>
      <c r="S40" s="74">
        <f>4800000/2</f>
        <v>2400000</v>
      </c>
      <c r="T40" s="75"/>
      <c r="U40" s="99">
        <f t="shared" si="8"/>
        <v>4800000</v>
      </c>
      <c r="V40" s="64">
        <f t="shared" si="9"/>
        <v>0</v>
      </c>
    </row>
    <row r="41" spans="1:22" ht="51" x14ac:dyDescent="0.25">
      <c r="A41" s="2" t="s">
        <v>69</v>
      </c>
      <c r="B41" s="3" t="s">
        <v>70</v>
      </c>
      <c r="C41" s="64">
        <v>6500000</v>
      </c>
      <c r="D41" s="92"/>
      <c r="E41" s="93"/>
      <c r="F41" s="93"/>
      <c r="G41" s="94"/>
      <c r="H41" s="65">
        <f t="shared" si="7"/>
        <v>6500000</v>
      </c>
      <c r="I41" s="72"/>
      <c r="J41" s="73"/>
      <c r="K41" s="73"/>
      <c r="L41" s="63">
        <v>688921</v>
      </c>
      <c r="M41" s="63">
        <v>742641</v>
      </c>
      <c r="N41" s="73"/>
      <c r="O41" s="73"/>
      <c r="P41" s="73"/>
      <c r="Q41" s="73"/>
      <c r="R41" s="74">
        <f>5068438/2</f>
        <v>2534219</v>
      </c>
      <c r="S41" s="74">
        <f>5068438/2</f>
        <v>2534219</v>
      </c>
      <c r="T41" s="74"/>
      <c r="U41" s="99">
        <f t="shared" si="8"/>
        <v>6500000</v>
      </c>
      <c r="V41" s="64">
        <f t="shared" si="9"/>
        <v>0</v>
      </c>
    </row>
    <row r="42" spans="1:22" ht="51" x14ac:dyDescent="0.25">
      <c r="A42" s="2" t="s">
        <v>71</v>
      </c>
      <c r="B42" s="3" t="s">
        <v>72</v>
      </c>
      <c r="C42" s="64">
        <v>1000</v>
      </c>
      <c r="D42" s="92">
        <v>6546317</v>
      </c>
      <c r="E42" s="93"/>
      <c r="F42" s="93"/>
      <c r="G42" s="94"/>
      <c r="H42" s="65">
        <f t="shared" si="7"/>
        <v>6547317</v>
      </c>
      <c r="I42" s="72">
        <v>46945</v>
      </c>
      <c r="J42" s="73">
        <v>1308030</v>
      </c>
      <c r="K42" s="73">
        <v>765517</v>
      </c>
      <c r="L42" s="73"/>
      <c r="M42" s="73"/>
      <c r="N42" s="73"/>
      <c r="O42" s="73"/>
      <c r="P42" s="63">
        <v>108989</v>
      </c>
      <c r="Q42" s="73">
        <v>199384</v>
      </c>
      <c r="R42" s="74">
        <f>4118452/2</f>
        <v>2059226</v>
      </c>
      <c r="S42" s="74">
        <f>4118452/2</f>
        <v>2059226</v>
      </c>
      <c r="T42" s="74"/>
      <c r="U42" s="99">
        <f t="shared" si="8"/>
        <v>6547317</v>
      </c>
      <c r="V42" s="64">
        <f t="shared" si="9"/>
        <v>0</v>
      </c>
    </row>
    <row r="43" spans="1:22" ht="38.25" x14ac:dyDescent="0.25">
      <c r="A43" s="2" t="s">
        <v>73</v>
      </c>
      <c r="B43" s="3" t="s">
        <v>74</v>
      </c>
      <c r="C43" s="64">
        <v>1000</v>
      </c>
      <c r="D43" s="92"/>
      <c r="E43" s="93"/>
      <c r="F43" s="93"/>
      <c r="G43" s="94"/>
      <c r="H43" s="65">
        <f t="shared" si="7"/>
        <v>1000</v>
      </c>
      <c r="I43" s="72"/>
      <c r="J43" s="73"/>
      <c r="K43" s="73"/>
      <c r="L43" s="73"/>
      <c r="M43" s="73"/>
      <c r="N43" s="73"/>
      <c r="O43" s="73"/>
      <c r="P43" s="73"/>
      <c r="Q43" s="73"/>
      <c r="R43" s="74">
        <f>1000/3</f>
        <v>333.33333333333331</v>
      </c>
      <c r="S43" s="74">
        <f t="shared" ref="S43:T43" si="16">1000/3</f>
        <v>333.33333333333331</v>
      </c>
      <c r="T43" s="74">
        <f t="shared" si="16"/>
        <v>333.33333333333331</v>
      </c>
      <c r="U43" s="99">
        <f t="shared" si="8"/>
        <v>1000</v>
      </c>
      <c r="V43" s="64">
        <f t="shared" si="9"/>
        <v>0</v>
      </c>
    </row>
    <row r="44" spans="1:22" ht="13.5" thickBot="1" x14ac:dyDescent="0.3">
      <c r="A44" s="6"/>
      <c r="B44" s="7"/>
      <c r="C44" s="76"/>
      <c r="D44" s="100"/>
      <c r="E44" s="79"/>
      <c r="F44" s="79"/>
      <c r="G44" s="101"/>
      <c r="H44" s="102"/>
      <c r="I44" s="81"/>
      <c r="J44" s="82"/>
      <c r="K44" s="82"/>
      <c r="L44" s="82"/>
      <c r="M44" s="82"/>
      <c r="N44" s="82"/>
      <c r="O44" s="82"/>
      <c r="P44" s="82"/>
      <c r="Q44" s="82"/>
      <c r="R44" s="83"/>
      <c r="S44" s="83"/>
      <c r="T44" s="84"/>
      <c r="U44" s="103"/>
      <c r="V44" s="76"/>
    </row>
    <row r="45" spans="1:22" ht="13.5" thickBot="1" x14ac:dyDescent="0.3">
      <c r="A45" s="135" t="s">
        <v>26</v>
      </c>
      <c r="B45" s="136"/>
      <c r="C45" s="85">
        <f t="shared" ref="C45:V45" si="17">SUM(C23:C44)</f>
        <v>112503000</v>
      </c>
      <c r="D45" s="104">
        <f t="shared" si="17"/>
        <v>51561812</v>
      </c>
      <c r="E45" s="105">
        <f t="shared" si="17"/>
        <v>0</v>
      </c>
      <c r="F45" s="105">
        <f t="shared" si="17"/>
        <v>2351810</v>
      </c>
      <c r="G45" s="106">
        <f t="shared" si="17"/>
        <v>2351810</v>
      </c>
      <c r="H45" s="85">
        <f t="shared" si="17"/>
        <v>164064812</v>
      </c>
      <c r="I45" s="86">
        <f t="shared" si="17"/>
        <v>193196</v>
      </c>
      <c r="J45" s="87">
        <f t="shared" si="17"/>
        <v>1422627</v>
      </c>
      <c r="K45" s="87">
        <f t="shared" si="17"/>
        <v>2865774</v>
      </c>
      <c r="L45" s="87">
        <f t="shared" si="17"/>
        <v>2771864</v>
      </c>
      <c r="M45" s="87">
        <f t="shared" si="17"/>
        <v>21740084</v>
      </c>
      <c r="N45" s="87">
        <f t="shared" si="17"/>
        <v>28872612.920000002</v>
      </c>
      <c r="O45" s="87">
        <f t="shared" si="17"/>
        <v>4488340</v>
      </c>
      <c r="P45" s="87">
        <f t="shared" si="17"/>
        <v>5523932</v>
      </c>
      <c r="Q45" s="87">
        <f t="shared" si="17"/>
        <v>606959</v>
      </c>
      <c r="R45" s="87">
        <f>SUM(R23:R44)</f>
        <v>47624046.166666664</v>
      </c>
      <c r="S45" s="87">
        <f>SUM(S23:S44)</f>
        <v>47624046.166666664</v>
      </c>
      <c r="T45" s="107">
        <f>SUM(T23:T44)</f>
        <v>331330.66666666663</v>
      </c>
      <c r="U45" s="108">
        <f t="shared" si="17"/>
        <v>164064811.92000002</v>
      </c>
      <c r="V45" s="85">
        <f t="shared" si="17"/>
        <v>8.0000000074505806E-2</v>
      </c>
    </row>
  </sheetData>
  <mergeCells count="69">
    <mergeCell ref="D13:E13"/>
    <mergeCell ref="F13:G13"/>
    <mergeCell ref="V21:V22"/>
    <mergeCell ref="A45:B45"/>
    <mergeCell ref="P21:P22"/>
    <mergeCell ref="Q21:Q22"/>
    <mergeCell ref="R21:R22"/>
    <mergeCell ref="S21:S22"/>
    <mergeCell ref="T21:T22"/>
    <mergeCell ref="U21:U22"/>
    <mergeCell ref="J21:J22"/>
    <mergeCell ref="K21:K22"/>
    <mergeCell ref="L21:L22"/>
    <mergeCell ref="M21:M22"/>
    <mergeCell ref="N21:N22"/>
    <mergeCell ref="O21:O22"/>
    <mergeCell ref="I21:I22"/>
    <mergeCell ref="D17:E17"/>
    <mergeCell ref="F17:G17"/>
    <mergeCell ref="A18:B18"/>
    <mergeCell ref="D18:E18"/>
    <mergeCell ref="F18:G18"/>
    <mergeCell ref="A20:V20"/>
    <mergeCell ref="A21:A22"/>
    <mergeCell ref="B21:B22"/>
    <mergeCell ref="C21:C22"/>
    <mergeCell ref="D21:G21"/>
    <mergeCell ref="H21:H22"/>
    <mergeCell ref="D14:E14"/>
    <mergeCell ref="F14:G14"/>
    <mergeCell ref="D15:E15"/>
    <mergeCell ref="F15:G15"/>
    <mergeCell ref="D16:E16"/>
    <mergeCell ref="F16:G16"/>
    <mergeCell ref="D10:E10"/>
    <mergeCell ref="F10:G10"/>
    <mergeCell ref="D11:E11"/>
    <mergeCell ref="F11:G11"/>
    <mergeCell ref="D12:E12"/>
    <mergeCell ref="F12:G12"/>
    <mergeCell ref="D9:E9"/>
    <mergeCell ref="F9:G9"/>
    <mergeCell ref="P6:P7"/>
    <mergeCell ref="Q6:Q7"/>
    <mergeCell ref="R6:R7"/>
    <mergeCell ref="J6:J7"/>
    <mergeCell ref="K6:K7"/>
    <mergeCell ref="L6:L7"/>
    <mergeCell ref="M6:M7"/>
    <mergeCell ref="N6:N7"/>
    <mergeCell ref="O6:O7"/>
    <mergeCell ref="D7:E7"/>
    <mergeCell ref="F7:G7"/>
    <mergeCell ref="D8:E8"/>
    <mergeCell ref="F8:G8"/>
    <mergeCell ref="A1:V1"/>
    <mergeCell ref="A2:V2"/>
    <mergeCell ref="A3:V3"/>
    <mergeCell ref="A5:V5"/>
    <mergeCell ref="A6:A7"/>
    <mergeCell ref="B6:B7"/>
    <mergeCell ref="C6:C7"/>
    <mergeCell ref="D6:G6"/>
    <mergeCell ref="H6:H7"/>
    <mergeCell ref="I6:I7"/>
    <mergeCell ref="V6:V7"/>
    <mergeCell ref="S6:S7"/>
    <mergeCell ref="T6:T7"/>
    <mergeCell ref="U6:U7"/>
  </mergeCells>
  <pageMargins left="0.39370078740157483" right="0.39370078740157483" top="0.39370078740157483" bottom="0.59055118110236227" header="0.39370078740157483" footer="0.39370078740157483"/>
  <pageSetup paperSize="258" scale="72" orientation="landscape" horizontalDpi="0" verticalDpi="0" r:id="rId1"/>
  <headerFooter>
    <oddFooter>&amp;L&amp;F&amp;C&amp;A&amp;R&amp;P de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topLeftCell="A13" zoomScale="80" zoomScaleNormal="80" workbookViewId="0">
      <selection activeCell="B25" sqref="B25"/>
    </sheetView>
  </sheetViews>
  <sheetFormatPr baseColWidth="10" defaultColWidth="11.42578125" defaultRowHeight="12.75" x14ac:dyDescent="0.25"/>
  <cols>
    <col min="1" max="1" width="9.7109375" style="1" customWidth="1"/>
    <col min="2" max="2" width="19.85546875" style="1" customWidth="1"/>
    <col min="3" max="3" width="10.85546875" style="109" customWidth="1"/>
    <col min="4" max="5" width="9.85546875" style="109" customWidth="1"/>
    <col min="6" max="7" width="8.7109375" style="109" customWidth="1"/>
    <col min="8" max="8" width="10.85546875" style="109" customWidth="1"/>
    <col min="9" max="10" width="9.85546875" style="109" customWidth="1"/>
    <col min="11" max="12" width="8.7109375" style="109" customWidth="1"/>
    <col min="13" max="14" width="9.85546875" style="109" customWidth="1"/>
    <col min="15" max="16" width="8.7109375" style="109" customWidth="1"/>
    <col min="17" max="17" width="7.85546875" style="109" customWidth="1"/>
    <col min="18" max="18" width="8.7109375" style="109" customWidth="1"/>
    <col min="19" max="20" width="9.85546875" style="109" customWidth="1"/>
    <col min="21" max="21" width="10.85546875" style="109" customWidth="1"/>
    <col min="22" max="22" width="4.7109375" style="109" customWidth="1"/>
    <col min="23" max="23" width="11.5703125" style="1" bestFit="1" customWidth="1"/>
    <col min="24" max="16384" width="11.42578125" style="1"/>
  </cols>
  <sheetData>
    <row r="1" spans="1:22" ht="13.15" x14ac:dyDescent="0.3">
      <c r="A1" s="124" t="s">
        <v>27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</row>
    <row r="2" spans="1:22" ht="13.15" x14ac:dyDescent="0.3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22" ht="13.15" x14ac:dyDescent="0.3">
      <c r="A3" s="124" t="s">
        <v>28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</row>
    <row r="5" spans="1:22" ht="13.9" thickBot="1" x14ac:dyDescent="0.35">
      <c r="A5" s="124" t="s">
        <v>1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</row>
    <row r="6" spans="1:22" x14ac:dyDescent="0.25">
      <c r="A6" s="125" t="s">
        <v>2</v>
      </c>
      <c r="B6" s="127" t="s">
        <v>3</v>
      </c>
      <c r="C6" s="154" t="s">
        <v>4</v>
      </c>
      <c r="D6" s="162" t="s">
        <v>5</v>
      </c>
      <c r="E6" s="163"/>
      <c r="F6" s="163"/>
      <c r="G6" s="164"/>
      <c r="H6" s="154" t="s">
        <v>8</v>
      </c>
      <c r="I6" s="165" t="s">
        <v>9</v>
      </c>
      <c r="J6" s="156" t="s">
        <v>10</v>
      </c>
      <c r="K6" s="156" t="s">
        <v>11</v>
      </c>
      <c r="L6" s="156" t="s">
        <v>12</v>
      </c>
      <c r="M6" s="156" t="s">
        <v>13</v>
      </c>
      <c r="N6" s="156" t="s">
        <v>14</v>
      </c>
      <c r="O6" s="156" t="s">
        <v>15</v>
      </c>
      <c r="P6" s="156" t="s">
        <v>16</v>
      </c>
      <c r="Q6" s="156" t="s">
        <v>17</v>
      </c>
      <c r="R6" s="156" t="s">
        <v>18</v>
      </c>
      <c r="S6" s="156" t="s">
        <v>19</v>
      </c>
      <c r="T6" s="158" t="s">
        <v>20</v>
      </c>
      <c r="U6" s="154" t="s">
        <v>21</v>
      </c>
      <c r="V6" s="154" t="s">
        <v>22</v>
      </c>
    </row>
    <row r="7" spans="1:22" ht="13.5" thickBot="1" x14ac:dyDescent="0.3">
      <c r="A7" s="126"/>
      <c r="B7" s="128"/>
      <c r="C7" s="155"/>
      <c r="D7" s="175" t="s">
        <v>6</v>
      </c>
      <c r="E7" s="176"/>
      <c r="F7" s="176" t="s">
        <v>7</v>
      </c>
      <c r="G7" s="177"/>
      <c r="H7" s="155"/>
      <c r="I7" s="186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7"/>
      <c r="U7" s="155"/>
      <c r="V7" s="155"/>
    </row>
    <row r="8" spans="1:22" ht="79.150000000000006" x14ac:dyDescent="0.3">
      <c r="A8" s="2" t="s">
        <v>29</v>
      </c>
      <c r="B8" s="3" t="s">
        <v>30</v>
      </c>
      <c r="C8" s="64">
        <v>3000000</v>
      </c>
      <c r="D8" s="178">
        <v>2000000</v>
      </c>
      <c r="E8" s="179"/>
      <c r="F8" s="179"/>
      <c r="G8" s="180"/>
      <c r="H8" s="65">
        <f>C8+D8-F8</f>
        <v>5000000</v>
      </c>
      <c r="I8" s="96"/>
      <c r="J8" s="97">
        <v>0</v>
      </c>
      <c r="K8" s="97">
        <v>0</v>
      </c>
      <c r="L8" s="97"/>
      <c r="M8" s="110">
        <v>810000</v>
      </c>
      <c r="N8" s="110">
        <v>3240000</v>
      </c>
      <c r="O8" s="97"/>
      <c r="P8" s="63">
        <v>810000</v>
      </c>
      <c r="Q8" s="97"/>
      <c r="R8" s="97"/>
      <c r="S8" s="93">
        <v>70000</v>
      </c>
      <c r="T8" s="93">
        <v>70000</v>
      </c>
      <c r="U8" s="64">
        <f>SUM(I8:T8)</f>
        <v>5000000</v>
      </c>
      <c r="V8" s="64">
        <f>H8-U8</f>
        <v>0</v>
      </c>
    </row>
    <row r="9" spans="1:22" ht="39.6" x14ac:dyDescent="0.3">
      <c r="A9" s="4" t="s">
        <v>31</v>
      </c>
      <c r="B9" s="5" t="s">
        <v>32</v>
      </c>
      <c r="C9" s="70">
        <v>3300000</v>
      </c>
      <c r="D9" s="172"/>
      <c r="E9" s="173"/>
      <c r="F9" s="173"/>
      <c r="G9" s="174"/>
      <c r="H9" s="71">
        <f t="shared" ref="H9:H18" si="0">C9+D9-F9</f>
        <v>3300000</v>
      </c>
      <c r="I9" s="72">
        <v>407000</v>
      </c>
      <c r="J9" s="73">
        <v>204500</v>
      </c>
      <c r="K9" s="73">
        <v>139000</v>
      </c>
      <c r="L9" s="73">
        <v>42000</v>
      </c>
      <c r="M9" s="63">
        <v>252000</v>
      </c>
      <c r="N9" s="63">
        <v>84000</v>
      </c>
      <c r="O9" s="73">
        <v>91000</v>
      </c>
      <c r="P9" s="63">
        <v>105000</v>
      </c>
      <c r="Q9" s="63">
        <v>133000</v>
      </c>
      <c r="R9" s="73">
        <v>210000</v>
      </c>
      <c r="S9" s="74">
        <f>1632500/2</f>
        <v>816250</v>
      </c>
      <c r="T9" s="74">
        <f>1632500/2</f>
        <v>816250</v>
      </c>
      <c r="U9" s="70">
        <f t="shared" ref="U9:U18" si="1">SUM(I9:T9)</f>
        <v>3300000</v>
      </c>
      <c r="V9" s="70">
        <f t="shared" ref="V9:V18" si="2">H9-U9</f>
        <v>0</v>
      </c>
    </row>
    <row r="10" spans="1:22" ht="26.45" x14ac:dyDescent="0.3">
      <c r="A10" s="4" t="s">
        <v>33</v>
      </c>
      <c r="B10" s="5" t="s">
        <v>34</v>
      </c>
      <c r="C10" s="70">
        <v>78000000</v>
      </c>
      <c r="D10" s="172"/>
      <c r="E10" s="173"/>
      <c r="F10" s="173">
        <v>11616564</v>
      </c>
      <c r="G10" s="174"/>
      <c r="H10" s="71">
        <f t="shared" si="0"/>
        <v>66383436</v>
      </c>
      <c r="I10" s="72"/>
      <c r="J10" s="73">
        <v>62478528</v>
      </c>
      <c r="K10" s="73"/>
      <c r="L10" s="73"/>
      <c r="M10" s="73"/>
      <c r="N10" s="73"/>
      <c r="O10" s="73"/>
      <c r="P10" s="73"/>
      <c r="Q10" s="73"/>
      <c r="R10" s="73">
        <v>3904908</v>
      </c>
      <c r="S10" s="74"/>
      <c r="T10" s="75"/>
      <c r="U10" s="70">
        <f t="shared" si="1"/>
        <v>66383436</v>
      </c>
      <c r="V10" s="70">
        <f t="shared" si="2"/>
        <v>0</v>
      </c>
    </row>
    <row r="11" spans="1:22" ht="26.45" x14ac:dyDescent="0.3">
      <c r="A11" s="4" t="s">
        <v>35</v>
      </c>
      <c r="B11" s="5" t="s">
        <v>36</v>
      </c>
      <c r="C11" s="70">
        <v>28000000</v>
      </c>
      <c r="D11" s="172">
        <v>6440000</v>
      </c>
      <c r="E11" s="173"/>
      <c r="F11" s="173"/>
      <c r="G11" s="174"/>
      <c r="H11" s="71">
        <f t="shared" si="0"/>
        <v>34440000</v>
      </c>
      <c r="I11" s="72"/>
      <c r="J11" s="73"/>
      <c r="K11" s="73"/>
      <c r="L11" s="73"/>
      <c r="M11" s="73"/>
      <c r="N11" s="73"/>
      <c r="O11" s="73"/>
      <c r="P11" s="73"/>
      <c r="Q11" s="73"/>
      <c r="R11" s="73"/>
      <c r="S11" s="74">
        <v>34440000</v>
      </c>
      <c r="T11" s="75"/>
      <c r="U11" s="70">
        <f t="shared" si="1"/>
        <v>34440000</v>
      </c>
      <c r="V11" s="70">
        <f t="shared" si="2"/>
        <v>0</v>
      </c>
    </row>
    <row r="12" spans="1:22" ht="26.45" x14ac:dyDescent="0.3">
      <c r="A12" s="4" t="s">
        <v>89</v>
      </c>
      <c r="B12" s="5" t="s">
        <v>90</v>
      </c>
      <c r="C12" s="70">
        <v>0</v>
      </c>
      <c r="D12" s="172">
        <v>20000000</v>
      </c>
      <c r="E12" s="173"/>
      <c r="F12" s="173"/>
      <c r="G12" s="174"/>
      <c r="H12" s="71">
        <f t="shared" ref="H12" si="3">C12+D12-F12</f>
        <v>20000000</v>
      </c>
      <c r="I12" s="72"/>
      <c r="J12" s="73"/>
      <c r="K12" s="73"/>
      <c r="L12" s="73"/>
      <c r="M12" s="73"/>
      <c r="N12" s="73"/>
      <c r="O12" s="73"/>
      <c r="P12" s="73"/>
      <c r="Q12" s="73"/>
      <c r="R12" s="73"/>
      <c r="S12" s="74">
        <v>20000000</v>
      </c>
      <c r="T12" s="75"/>
      <c r="U12" s="70">
        <f t="shared" ref="U12" si="4">SUM(I12:T12)</f>
        <v>20000000</v>
      </c>
      <c r="V12" s="70">
        <f t="shared" ref="V12" si="5">H12-U12</f>
        <v>0</v>
      </c>
    </row>
    <row r="13" spans="1:22" ht="13.15" x14ac:dyDescent="0.3">
      <c r="A13" s="4" t="s">
        <v>37</v>
      </c>
      <c r="B13" s="5" t="s">
        <v>38</v>
      </c>
      <c r="C13" s="70">
        <v>200000</v>
      </c>
      <c r="D13" s="172"/>
      <c r="E13" s="173"/>
      <c r="F13" s="173"/>
      <c r="G13" s="174"/>
      <c r="H13" s="71">
        <f t="shared" si="0"/>
        <v>200000</v>
      </c>
      <c r="I13" s="72">
        <v>1100</v>
      </c>
      <c r="J13" s="73">
        <v>1787</v>
      </c>
      <c r="K13" s="73">
        <v>6206</v>
      </c>
      <c r="L13" s="63">
        <v>5859</v>
      </c>
      <c r="M13" s="63">
        <v>5872</v>
      </c>
      <c r="N13" s="63">
        <v>5641</v>
      </c>
      <c r="O13" s="73">
        <v>5794</v>
      </c>
      <c r="P13" s="63">
        <v>5254</v>
      </c>
      <c r="Q13" s="73">
        <v>3920</v>
      </c>
      <c r="R13" s="73">
        <v>3921</v>
      </c>
      <c r="S13" s="74">
        <f>154646/2</f>
        <v>77323</v>
      </c>
      <c r="T13" s="74">
        <f>154646/2</f>
        <v>77323</v>
      </c>
      <c r="U13" s="70">
        <f t="shared" si="1"/>
        <v>200000</v>
      </c>
      <c r="V13" s="70">
        <f t="shared" si="2"/>
        <v>0</v>
      </c>
    </row>
    <row r="14" spans="1:22" ht="38.25" x14ac:dyDescent="0.25">
      <c r="A14" s="116" t="s">
        <v>83</v>
      </c>
      <c r="B14" s="116" t="s">
        <v>84</v>
      </c>
      <c r="C14" s="76">
        <v>0</v>
      </c>
      <c r="D14" s="172">
        <v>500000</v>
      </c>
      <c r="E14" s="173"/>
      <c r="F14" s="173"/>
      <c r="G14" s="174"/>
      <c r="H14" s="71">
        <f t="shared" si="0"/>
        <v>500000</v>
      </c>
      <c r="I14" s="77"/>
      <c r="J14" s="78"/>
      <c r="K14" s="78"/>
      <c r="L14" s="117"/>
      <c r="M14" s="117"/>
      <c r="N14" s="117"/>
      <c r="O14" s="78"/>
      <c r="P14" s="117"/>
      <c r="Q14" s="78">
        <v>500000</v>
      </c>
      <c r="R14" s="78"/>
      <c r="S14" s="79"/>
      <c r="T14" s="80"/>
      <c r="U14" s="70">
        <f t="shared" si="1"/>
        <v>500000</v>
      </c>
      <c r="V14" s="70">
        <f t="shared" si="2"/>
        <v>0</v>
      </c>
    </row>
    <row r="15" spans="1:22" ht="13.15" x14ac:dyDescent="0.3">
      <c r="A15" s="6" t="s">
        <v>39</v>
      </c>
      <c r="B15" s="7" t="s">
        <v>40</v>
      </c>
      <c r="C15" s="76">
        <v>1000</v>
      </c>
      <c r="D15" s="172">
        <v>1075935</v>
      </c>
      <c r="E15" s="173"/>
      <c r="F15" s="173"/>
      <c r="G15" s="174"/>
      <c r="H15" s="71">
        <f t="shared" si="0"/>
        <v>1076935</v>
      </c>
      <c r="I15" s="77">
        <v>1075935</v>
      </c>
      <c r="J15" s="78"/>
      <c r="K15" s="78"/>
      <c r="L15" s="78"/>
      <c r="M15" s="78"/>
      <c r="N15" s="78"/>
      <c r="O15" s="78"/>
      <c r="P15" s="78"/>
      <c r="Q15" s="78"/>
      <c r="R15" s="78"/>
      <c r="S15" s="79">
        <v>1000</v>
      </c>
      <c r="T15" s="80"/>
      <c r="U15" s="70">
        <f t="shared" si="1"/>
        <v>1076935</v>
      </c>
      <c r="V15" s="70">
        <f t="shared" si="2"/>
        <v>0</v>
      </c>
    </row>
    <row r="16" spans="1:22" ht="13.15" x14ac:dyDescent="0.3">
      <c r="A16" s="6" t="s">
        <v>41</v>
      </c>
      <c r="B16" s="7" t="s">
        <v>42</v>
      </c>
      <c r="C16" s="76">
        <v>1000</v>
      </c>
      <c r="D16" s="172">
        <v>30546317</v>
      </c>
      <c r="E16" s="173"/>
      <c r="F16" s="173"/>
      <c r="G16" s="174"/>
      <c r="H16" s="71">
        <f t="shared" si="0"/>
        <v>30547317</v>
      </c>
      <c r="I16" s="77">
        <v>30546317</v>
      </c>
      <c r="J16" s="78"/>
      <c r="K16" s="78"/>
      <c r="L16" s="78"/>
      <c r="M16" s="78"/>
      <c r="N16" s="78"/>
      <c r="O16" s="78"/>
      <c r="P16" s="78"/>
      <c r="Q16" s="78"/>
      <c r="R16" s="78"/>
      <c r="S16" s="79">
        <v>1000</v>
      </c>
      <c r="T16" s="80"/>
      <c r="U16" s="70">
        <f t="shared" si="1"/>
        <v>30547317</v>
      </c>
      <c r="V16" s="70">
        <f t="shared" si="2"/>
        <v>0</v>
      </c>
    </row>
    <row r="17" spans="1:22" ht="13.15" x14ac:dyDescent="0.3">
      <c r="A17" s="6" t="s">
        <v>43</v>
      </c>
      <c r="B17" s="7" t="s">
        <v>44</v>
      </c>
      <c r="C17" s="76">
        <v>1000</v>
      </c>
      <c r="D17" s="172">
        <v>19939560</v>
      </c>
      <c r="E17" s="173"/>
      <c r="F17" s="173"/>
      <c r="G17" s="174"/>
      <c r="H17" s="71">
        <f t="shared" si="0"/>
        <v>19940560</v>
      </c>
      <c r="I17" s="77">
        <v>19939560</v>
      </c>
      <c r="J17" s="78"/>
      <c r="K17" s="78"/>
      <c r="L17" s="78"/>
      <c r="M17" s="78"/>
      <c r="N17" s="78"/>
      <c r="O17" s="78"/>
      <c r="P17" s="78"/>
      <c r="Q17" s="78"/>
      <c r="R17" s="78"/>
      <c r="S17" s="79">
        <v>1000</v>
      </c>
      <c r="T17" s="80"/>
      <c r="U17" s="70">
        <f t="shared" si="1"/>
        <v>19940560</v>
      </c>
      <c r="V17" s="70">
        <f t="shared" si="2"/>
        <v>0</v>
      </c>
    </row>
    <row r="18" spans="1:22" ht="13.9" thickBot="1" x14ac:dyDescent="0.35">
      <c r="A18" s="6"/>
      <c r="B18" s="7"/>
      <c r="C18" s="76"/>
      <c r="D18" s="167"/>
      <c r="E18" s="168"/>
      <c r="F18" s="168"/>
      <c r="G18" s="169"/>
      <c r="H18" s="71">
        <f t="shared" si="0"/>
        <v>0</v>
      </c>
      <c r="I18" s="81"/>
      <c r="J18" s="82"/>
      <c r="K18" s="82"/>
      <c r="L18" s="82"/>
      <c r="M18" s="82"/>
      <c r="N18" s="82"/>
      <c r="O18" s="82"/>
      <c r="P18" s="82"/>
      <c r="Q18" s="82"/>
      <c r="R18" s="82"/>
      <c r="S18" s="83"/>
      <c r="T18" s="84"/>
      <c r="U18" s="70">
        <f t="shared" si="1"/>
        <v>0</v>
      </c>
      <c r="V18" s="70">
        <f t="shared" si="2"/>
        <v>0</v>
      </c>
    </row>
    <row r="19" spans="1:22" ht="13.9" thickBot="1" x14ac:dyDescent="0.35">
      <c r="A19" s="135" t="s">
        <v>26</v>
      </c>
      <c r="B19" s="136"/>
      <c r="C19" s="85">
        <f>SUM(C8:C18)</f>
        <v>112503000</v>
      </c>
      <c r="D19" s="170">
        <f>SUM(D8:E18)</f>
        <v>80501812</v>
      </c>
      <c r="E19" s="171"/>
      <c r="F19" s="170">
        <f>SUM(F8:G18)</f>
        <v>11616564</v>
      </c>
      <c r="G19" s="171"/>
      <c r="H19" s="85">
        <f t="shared" ref="H19:V19" si="6">SUM(H8:H18)</f>
        <v>181388248</v>
      </c>
      <c r="I19" s="86">
        <f t="shared" si="6"/>
        <v>51969912</v>
      </c>
      <c r="J19" s="87">
        <f t="shared" si="6"/>
        <v>62684815</v>
      </c>
      <c r="K19" s="87">
        <f t="shared" si="6"/>
        <v>145206</v>
      </c>
      <c r="L19" s="87">
        <f t="shared" si="6"/>
        <v>47859</v>
      </c>
      <c r="M19" s="87">
        <f t="shared" si="6"/>
        <v>1067872</v>
      </c>
      <c r="N19" s="111">
        <f t="shared" si="6"/>
        <v>3329641</v>
      </c>
      <c r="O19" s="87">
        <f t="shared" si="6"/>
        <v>96794</v>
      </c>
      <c r="P19" s="87">
        <f t="shared" si="6"/>
        <v>920254</v>
      </c>
      <c r="Q19" s="87">
        <f t="shared" si="6"/>
        <v>636920</v>
      </c>
      <c r="R19" s="87">
        <f t="shared" si="6"/>
        <v>4118829</v>
      </c>
      <c r="S19" s="87">
        <f t="shared" si="6"/>
        <v>55406573</v>
      </c>
      <c r="T19" s="88">
        <f t="shared" si="6"/>
        <v>963573</v>
      </c>
      <c r="U19" s="85">
        <f t="shared" si="6"/>
        <v>181388248</v>
      </c>
      <c r="V19" s="85">
        <f t="shared" si="6"/>
        <v>0</v>
      </c>
    </row>
    <row r="21" spans="1:22" ht="13.9" thickBot="1" x14ac:dyDescent="0.35">
      <c r="A21" s="124" t="s">
        <v>23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</row>
    <row r="22" spans="1:22" x14ac:dyDescent="0.25">
      <c r="A22" s="133" t="s">
        <v>2</v>
      </c>
      <c r="B22" s="127" t="s">
        <v>3</v>
      </c>
      <c r="C22" s="154" t="s">
        <v>4</v>
      </c>
      <c r="D22" s="162" t="s">
        <v>5</v>
      </c>
      <c r="E22" s="163"/>
      <c r="F22" s="163"/>
      <c r="G22" s="164"/>
      <c r="H22" s="154" t="s">
        <v>8</v>
      </c>
      <c r="I22" s="165" t="s">
        <v>9</v>
      </c>
      <c r="J22" s="156" t="s">
        <v>10</v>
      </c>
      <c r="K22" s="156" t="s">
        <v>11</v>
      </c>
      <c r="L22" s="156" t="s">
        <v>12</v>
      </c>
      <c r="M22" s="156" t="s">
        <v>13</v>
      </c>
      <c r="N22" s="156" t="s">
        <v>14</v>
      </c>
      <c r="O22" s="156" t="s">
        <v>15</v>
      </c>
      <c r="P22" s="156" t="s">
        <v>16</v>
      </c>
      <c r="Q22" s="156" t="s">
        <v>17</v>
      </c>
      <c r="R22" s="156" t="s">
        <v>18</v>
      </c>
      <c r="S22" s="156" t="s">
        <v>19</v>
      </c>
      <c r="T22" s="158" t="s">
        <v>20</v>
      </c>
      <c r="U22" s="160" t="s">
        <v>21</v>
      </c>
      <c r="V22" s="154" t="s">
        <v>22</v>
      </c>
    </row>
    <row r="23" spans="1:22" ht="39" thickBot="1" x14ac:dyDescent="0.3">
      <c r="A23" s="149"/>
      <c r="B23" s="128"/>
      <c r="C23" s="155"/>
      <c r="D23" s="89" t="s">
        <v>6</v>
      </c>
      <c r="E23" s="90" t="s">
        <v>7</v>
      </c>
      <c r="F23" s="90" t="s">
        <v>24</v>
      </c>
      <c r="G23" s="91" t="s">
        <v>25</v>
      </c>
      <c r="H23" s="155"/>
      <c r="I23" s="166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9"/>
      <c r="U23" s="161"/>
      <c r="V23" s="155"/>
    </row>
    <row r="24" spans="1:22" ht="39.6" x14ac:dyDescent="0.3">
      <c r="A24" s="2" t="s">
        <v>75</v>
      </c>
      <c r="B24" s="3" t="s">
        <v>76</v>
      </c>
      <c r="C24" s="64">
        <v>0</v>
      </c>
      <c r="D24" s="92">
        <v>19939560</v>
      </c>
      <c r="E24" s="93"/>
      <c r="F24" s="93"/>
      <c r="G24" s="94">
        <v>543060</v>
      </c>
      <c r="H24" s="65">
        <f>C24+D24-E24+F24-G24</f>
        <v>19396500</v>
      </c>
      <c r="I24" s="66"/>
      <c r="J24" s="67"/>
      <c r="K24" s="67"/>
      <c r="L24" s="67"/>
      <c r="M24" s="63">
        <v>18914500</v>
      </c>
      <c r="N24" s="67"/>
      <c r="O24" s="67"/>
      <c r="P24" s="67"/>
      <c r="Q24" s="67"/>
      <c r="R24" s="67"/>
      <c r="S24" s="68">
        <v>241000</v>
      </c>
      <c r="T24" s="69">
        <v>241000</v>
      </c>
      <c r="U24" s="95">
        <f>SUM(I24:T24)</f>
        <v>19396500</v>
      </c>
      <c r="V24" s="64">
        <f>H24-U24</f>
        <v>0</v>
      </c>
    </row>
    <row r="25" spans="1:22" ht="39.6" x14ac:dyDescent="0.3">
      <c r="A25" s="2" t="s">
        <v>45</v>
      </c>
      <c r="B25" s="3" t="s">
        <v>46</v>
      </c>
      <c r="C25" s="64">
        <v>18500000</v>
      </c>
      <c r="D25" s="92"/>
      <c r="E25" s="93"/>
      <c r="F25" s="93"/>
      <c r="G25" s="94"/>
      <c r="H25" s="65">
        <f t="shared" ref="H25:H47" si="7">C25+D25-E25+F25-G25</f>
        <v>18500000</v>
      </c>
      <c r="I25" s="96"/>
      <c r="J25" s="97"/>
      <c r="K25" s="97"/>
      <c r="L25" s="97"/>
      <c r="M25" s="97"/>
      <c r="N25" s="97"/>
      <c r="O25" s="97"/>
      <c r="P25" s="97"/>
      <c r="Q25" s="97"/>
      <c r="R25" s="97"/>
      <c r="S25" s="93">
        <v>9250000</v>
      </c>
      <c r="T25" s="98">
        <v>9250000</v>
      </c>
      <c r="U25" s="99">
        <f t="shared" ref="U25:U47" si="8">SUM(I25:T25)</f>
        <v>18500000</v>
      </c>
      <c r="V25" s="64">
        <f t="shared" ref="V25:V47" si="9">H25-U25</f>
        <v>0</v>
      </c>
    </row>
    <row r="26" spans="1:22" ht="39.6" x14ac:dyDescent="0.3">
      <c r="A26" s="2" t="s">
        <v>77</v>
      </c>
      <c r="B26" s="3" t="s">
        <v>78</v>
      </c>
      <c r="C26" s="64">
        <v>0</v>
      </c>
      <c r="D26" s="92">
        <v>16000000</v>
      </c>
      <c r="E26" s="93"/>
      <c r="F26" s="93"/>
      <c r="G26" s="94">
        <v>1808750</v>
      </c>
      <c r="H26" s="65">
        <f t="shared" si="7"/>
        <v>14191250</v>
      </c>
      <c r="I26" s="96"/>
      <c r="J26" s="97"/>
      <c r="K26" s="97"/>
      <c r="L26" s="97"/>
      <c r="M26" s="97"/>
      <c r="N26" s="63">
        <v>13781100</v>
      </c>
      <c r="O26" s="97"/>
      <c r="P26" s="97"/>
      <c r="Q26" s="97"/>
      <c r="R26" s="97"/>
      <c r="S26" s="93">
        <v>205075</v>
      </c>
      <c r="T26" s="93">
        <v>205075</v>
      </c>
      <c r="U26" s="99">
        <f t="shared" si="8"/>
        <v>14191250</v>
      </c>
      <c r="V26" s="64">
        <f t="shared" si="9"/>
        <v>0</v>
      </c>
    </row>
    <row r="27" spans="1:22" ht="26.45" x14ac:dyDescent="0.3">
      <c r="A27" s="2" t="s">
        <v>47</v>
      </c>
      <c r="B27" s="3" t="s">
        <v>48</v>
      </c>
      <c r="C27" s="64">
        <v>14000000</v>
      </c>
      <c r="D27" s="92"/>
      <c r="E27" s="93">
        <v>991430</v>
      </c>
      <c r="F27" s="93"/>
      <c r="G27" s="94"/>
      <c r="H27" s="65">
        <f t="shared" si="7"/>
        <v>13008570</v>
      </c>
      <c r="I27" s="72"/>
      <c r="J27" s="73"/>
      <c r="K27" s="73"/>
      <c r="L27" s="73"/>
      <c r="M27" s="73"/>
      <c r="N27" s="63">
        <v>13008569.92</v>
      </c>
      <c r="O27" s="73"/>
      <c r="P27" s="73"/>
      <c r="Q27" s="73"/>
      <c r="R27" s="73"/>
      <c r="S27" s="74"/>
      <c r="T27" s="75"/>
      <c r="U27" s="99">
        <f t="shared" si="8"/>
        <v>13008569.92</v>
      </c>
      <c r="V27" s="64">
        <f t="shared" si="9"/>
        <v>8.0000000074505806E-2</v>
      </c>
    </row>
    <row r="28" spans="1:22" ht="26.45" x14ac:dyDescent="0.3">
      <c r="A28" s="2" t="s">
        <v>91</v>
      </c>
      <c r="B28" s="3" t="s">
        <v>92</v>
      </c>
      <c r="C28" s="64">
        <v>0</v>
      </c>
      <c r="D28" s="92">
        <v>6440000</v>
      </c>
      <c r="E28" s="93">
        <v>0</v>
      </c>
      <c r="F28" s="93">
        <v>0</v>
      </c>
      <c r="G28" s="94">
        <v>0</v>
      </c>
      <c r="H28" s="65">
        <f t="shared" si="7"/>
        <v>6440000</v>
      </c>
      <c r="I28" s="72"/>
      <c r="J28" s="73"/>
      <c r="K28" s="73"/>
      <c r="L28" s="73"/>
      <c r="M28" s="73"/>
      <c r="N28" s="63"/>
      <c r="O28" s="73"/>
      <c r="P28" s="73"/>
      <c r="Q28" s="73"/>
      <c r="R28" s="73"/>
      <c r="S28" s="74">
        <v>3220000</v>
      </c>
      <c r="T28" s="75">
        <v>3220000</v>
      </c>
      <c r="U28" s="99">
        <f t="shared" ref="U28" si="10">SUM(I28:T28)</f>
        <v>6440000</v>
      </c>
      <c r="V28" s="64">
        <f t="shared" ref="V28" si="11">H28-U28</f>
        <v>0</v>
      </c>
    </row>
    <row r="29" spans="1:22" ht="39.6" x14ac:dyDescent="0.3">
      <c r="A29" s="2" t="s">
        <v>49</v>
      </c>
      <c r="B29" s="3" t="s">
        <v>50</v>
      </c>
      <c r="C29" s="64">
        <v>1000</v>
      </c>
      <c r="D29" s="92"/>
      <c r="E29" s="93"/>
      <c r="F29" s="93"/>
      <c r="G29" s="94"/>
      <c r="H29" s="65">
        <f t="shared" si="7"/>
        <v>1000</v>
      </c>
      <c r="I29" s="72"/>
      <c r="J29" s="73"/>
      <c r="K29" s="73"/>
      <c r="L29" s="73"/>
      <c r="M29" s="73"/>
      <c r="N29" s="73"/>
      <c r="O29" s="73"/>
      <c r="P29" s="73"/>
      <c r="Q29" s="73"/>
      <c r="R29" s="73"/>
      <c r="S29" s="74">
        <v>500</v>
      </c>
      <c r="T29" s="75">
        <v>500</v>
      </c>
      <c r="U29" s="99">
        <f t="shared" si="8"/>
        <v>1000</v>
      </c>
      <c r="V29" s="64">
        <f t="shared" si="9"/>
        <v>0</v>
      </c>
    </row>
    <row r="30" spans="1:22" ht="26.45" x14ac:dyDescent="0.3">
      <c r="A30" s="2" t="s">
        <v>51</v>
      </c>
      <c r="B30" s="3" t="s">
        <v>52</v>
      </c>
      <c r="C30" s="64">
        <v>20000000</v>
      </c>
      <c r="D30" s="92"/>
      <c r="E30" s="93"/>
      <c r="F30" s="93"/>
      <c r="G30" s="94"/>
      <c r="H30" s="65">
        <f t="shared" si="7"/>
        <v>20000000</v>
      </c>
      <c r="I30" s="72"/>
      <c r="J30" s="73"/>
      <c r="K30" s="73"/>
      <c r="L30" s="73"/>
      <c r="M30" s="73"/>
      <c r="N30" s="73"/>
      <c r="O30" s="73"/>
      <c r="P30" s="73"/>
      <c r="Q30" s="73"/>
      <c r="R30" s="73"/>
      <c r="S30" s="74">
        <v>10000000</v>
      </c>
      <c r="T30" s="75">
        <v>10000000</v>
      </c>
      <c r="U30" s="99">
        <f t="shared" si="8"/>
        <v>20000000</v>
      </c>
      <c r="V30" s="64">
        <f t="shared" si="9"/>
        <v>0</v>
      </c>
    </row>
    <row r="31" spans="1:22" ht="25.5" x14ac:dyDescent="0.25">
      <c r="A31" s="2" t="s">
        <v>53</v>
      </c>
      <c r="B31" s="3" t="s">
        <v>54</v>
      </c>
      <c r="C31" s="64">
        <v>2300000</v>
      </c>
      <c r="D31" s="92"/>
      <c r="E31" s="93"/>
      <c r="F31" s="93"/>
      <c r="G31" s="94"/>
      <c r="H31" s="65">
        <f t="shared" si="7"/>
        <v>2300000</v>
      </c>
      <c r="I31" s="72"/>
      <c r="J31" s="73"/>
      <c r="K31" s="73"/>
      <c r="L31" s="73"/>
      <c r="M31" s="73"/>
      <c r="N31" s="73"/>
      <c r="O31" s="73"/>
      <c r="P31" s="73"/>
      <c r="Q31" s="73"/>
      <c r="R31" s="73"/>
      <c r="S31" s="74">
        <v>1150000</v>
      </c>
      <c r="T31" s="75">
        <v>1150000</v>
      </c>
      <c r="U31" s="99">
        <f t="shared" si="8"/>
        <v>2300000</v>
      </c>
      <c r="V31" s="64">
        <f t="shared" si="9"/>
        <v>0</v>
      </c>
    </row>
    <row r="32" spans="1:22" ht="25.5" x14ac:dyDescent="0.25">
      <c r="A32" s="2" t="s">
        <v>85</v>
      </c>
      <c r="B32" s="3" t="s">
        <v>86</v>
      </c>
      <c r="C32" s="64">
        <v>0</v>
      </c>
      <c r="D32" s="92">
        <v>0</v>
      </c>
      <c r="E32" s="93">
        <v>0</v>
      </c>
      <c r="F32" s="93">
        <v>1808750</v>
      </c>
      <c r="G32" s="94">
        <v>0</v>
      </c>
      <c r="H32" s="65">
        <f t="shared" si="7"/>
        <v>1808750</v>
      </c>
      <c r="I32" s="72"/>
      <c r="J32" s="73"/>
      <c r="K32" s="73"/>
      <c r="L32" s="73"/>
      <c r="M32" s="73"/>
      <c r="N32" s="73"/>
      <c r="O32" s="73"/>
      <c r="P32" s="73"/>
      <c r="Q32" s="73"/>
      <c r="R32" s="73"/>
      <c r="S32" s="74">
        <f>1808750/2</f>
        <v>904375</v>
      </c>
      <c r="T32" s="74">
        <f>1808750/2</f>
        <v>904375</v>
      </c>
      <c r="U32" s="99">
        <f t="shared" si="8"/>
        <v>1808750</v>
      </c>
      <c r="V32" s="64">
        <f t="shared" si="9"/>
        <v>0</v>
      </c>
    </row>
    <row r="33" spans="1:22" ht="25.5" x14ac:dyDescent="0.25">
      <c r="A33" s="2" t="s">
        <v>87</v>
      </c>
      <c r="B33" s="3" t="s">
        <v>88</v>
      </c>
      <c r="C33" s="64">
        <v>0</v>
      </c>
      <c r="D33" s="92">
        <v>0</v>
      </c>
      <c r="E33" s="93">
        <v>0</v>
      </c>
      <c r="F33" s="93">
        <v>543060</v>
      </c>
      <c r="G33" s="94">
        <v>0</v>
      </c>
      <c r="H33" s="65">
        <f t="shared" si="7"/>
        <v>543060</v>
      </c>
      <c r="I33" s="72"/>
      <c r="J33" s="73"/>
      <c r="K33" s="73"/>
      <c r="L33" s="73"/>
      <c r="M33" s="73"/>
      <c r="N33" s="73"/>
      <c r="O33" s="73"/>
      <c r="P33" s="73"/>
      <c r="Q33" s="73"/>
      <c r="R33" s="73"/>
      <c r="S33" s="74">
        <f>543060/2</f>
        <v>271530</v>
      </c>
      <c r="T33" s="74">
        <f>543060/2</f>
        <v>271530</v>
      </c>
      <c r="U33" s="99">
        <f t="shared" si="8"/>
        <v>543060</v>
      </c>
      <c r="V33" s="64">
        <f t="shared" si="9"/>
        <v>0</v>
      </c>
    </row>
    <row r="34" spans="1:22" ht="25.5" x14ac:dyDescent="0.25">
      <c r="A34" s="2" t="s">
        <v>55</v>
      </c>
      <c r="B34" s="3" t="s">
        <v>56</v>
      </c>
      <c r="C34" s="64">
        <v>200000</v>
      </c>
      <c r="D34" s="92"/>
      <c r="E34" s="93"/>
      <c r="F34" s="93"/>
      <c r="G34" s="94"/>
      <c r="H34" s="65">
        <f t="shared" si="7"/>
        <v>200000</v>
      </c>
      <c r="I34" s="72"/>
      <c r="J34" s="73"/>
      <c r="K34" s="73"/>
      <c r="L34" s="73"/>
      <c r="M34" s="73"/>
      <c r="N34" s="73"/>
      <c r="O34" s="73"/>
      <c r="P34" s="73"/>
      <c r="Q34" s="73"/>
      <c r="R34" s="73"/>
      <c r="S34" s="74">
        <v>100000</v>
      </c>
      <c r="T34" s="75">
        <v>100000</v>
      </c>
      <c r="U34" s="99">
        <f t="shared" si="8"/>
        <v>200000</v>
      </c>
      <c r="V34" s="64">
        <f t="shared" si="9"/>
        <v>0</v>
      </c>
    </row>
    <row r="35" spans="1:22" ht="25.5" x14ac:dyDescent="0.25">
      <c r="A35" s="2" t="s">
        <v>93</v>
      </c>
      <c r="B35" s="3" t="s">
        <v>94</v>
      </c>
      <c r="C35" s="64">
        <v>0</v>
      </c>
      <c r="D35" s="92">
        <v>20000000</v>
      </c>
      <c r="E35" s="93">
        <v>0</v>
      </c>
      <c r="F35" s="93">
        <v>0</v>
      </c>
      <c r="G35" s="94">
        <v>0</v>
      </c>
      <c r="H35" s="65">
        <f t="shared" si="7"/>
        <v>20000000</v>
      </c>
      <c r="I35" s="72"/>
      <c r="J35" s="73"/>
      <c r="K35" s="73"/>
      <c r="L35" s="73"/>
      <c r="M35" s="73"/>
      <c r="N35" s="73"/>
      <c r="O35" s="73"/>
      <c r="P35" s="73"/>
      <c r="Q35" s="73"/>
      <c r="R35" s="73"/>
      <c r="S35" s="74">
        <v>10000000</v>
      </c>
      <c r="T35" s="75">
        <v>10000000</v>
      </c>
      <c r="U35" s="99">
        <f t="shared" ref="U35" si="12">SUM(I35:T35)</f>
        <v>20000000</v>
      </c>
      <c r="V35" s="64">
        <f t="shared" ref="V35" si="13">H35-U35</f>
        <v>0</v>
      </c>
    </row>
    <row r="36" spans="1:22" ht="25.5" x14ac:dyDescent="0.25">
      <c r="A36" s="2" t="s">
        <v>57</v>
      </c>
      <c r="B36" s="3" t="s">
        <v>58</v>
      </c>
      <c r="C36" s="64">
        <v>1500000</v>
      </c>
      <c r="D36" s="92"/>
      <c r="E36" s="93"/>
      <c r="F36" s="93"/>
      <c r="G36" s="94"/>
      <c r="H36" s="65">
        <f t="shared" si="7"/>
        <v>1500000</v>
      </c>
      <c r="I36" s="72">
        <v>146251</v>
      </c>
      <c r="J36" s="73">
        <v>114597</v>
      </c>
      <c r="K36" s="73">
        <v>100257</v>
      </c>
      <c r="L36" s="73"/>
      <c r="M36" s="63">
        <v>82943</v>
      </c>
      <c r="N36" s="63">
        <v>82943</v>
      </c>
      <c r="O36" s="73">
        <v>82943</v>
      </c>
      <c r="P36" s="63">
        <v>82943</v>
      </c>
      <c r="Q36" s="73">
        <v>407575</v>
      </c>
      <c r="R36" s="73">
        <v>82943</v>
      </c>
      <c r="S36" s="74">
        <f>316605/2</f>
        <v>158302.5</v>
      </c>
      <c r="T36" s="74">
        <f>316605/2</f>
        <v>158302.5</v>
      </c>
      <c r="U36" s="99">
        <f t="shared" si="8"/>
        <v>1500000</v>
      </c>
      <c r="V36" s="64">
        <f t="shared" si="9"/>
        <v>0</v>
      </c>
    </row>
    <row r="37" spans="1:22" ht="25.5" x14ac:dyDescent="0.25">
      <c r="A37" s="2" t="s">
        <v>79</v>
      </c>
      <c r="B37" s="3" t="s">
        <v>80</v>
      </c>
      <c r="C37" s="64">
        <v>0</v>
      </c>
      <c r="D37" s="92">
        <v>1075935</v>
      </c>
      <c r="E37" s="93"/>
      <c r="F37" s="93"/>
      <c r="G37" s="94"/>
      <c r="H37" s="65">
        <f t="shared" si="7"/>
        <v>1075935</v>
      </c>
      <c r="I37" s="72"/>
      <c r="J37" s="73"/>
      <c r="K37" s="73"/>
      <c r="L37" s="63">
        <v>82943</v>
      </c>
      <c r="M37" s="73"/>
      <c r="N37" s="73"/>
      <c r="O37" s="73"/>
      <c r="P37" s="73"/>
      <c r="Q37" s="73"/>
      <c r="R37" s="73"/>
      <c r="S37" s="74">
        <f>992992/2</f>
        <v>496496</v>
      </c>
      <c r="T37" s="74">
        <f>992992/2</f>
        <v>496496</v>
      </c>
      <c r="U37" s="99">
        <f t="shared" si="8"/>
        <v>1075935</v>
      </c>
      <c r="V37" s="64">
        <f t="shared" si="9"/>
        <v>0</v>
      </c>
    </row>
    <row r="38" spans="1:22" ht="25.5" x14ac:dyDescent="0.25">
      <c r="A38" s="2" t="s">
        <v>59</v>
      </c>
      <c r="B38" s="3" t="s">
        <v>60</v>
      </c>
      <c r="C38" s="64">
        <v>5000000</v>
      </c>
      <c r="D38" s="92"/>
      <c r="E38" s="93">
        <v>594603</v>
      </c>
      <c r="F38" s="93"/>
      <c r="G38" s="94"/>
      <c r="H38" s="65">
        <f t="shared" si="7"/>
        <v>4405397</v>
      </c>
      <c r="I38" s="72"/>
      <c r="J38" s="73"/>
      <c r="K38" s="73"/>
      <c r="L38" s="73"/>
      <c r="M38" s="73"/>
      <c r="N38" s="73"/>
      <c r="O38" s="73">
        <v>4405397</v>
      </c>
      <c r="P38" s="73"/>
      <c r="Q38" s="73"/>
      <c r="R38" s="73"/>
      <c r="S38" s="74"/>
      <c r="T38" s="74"/>
      <c r="U38" s="99">
        <f t="shared" si="8"/>
        <v>4405397</v>
      </c>
      <c r="V38" s="64">
        <f t="shared" si="9"/>
        <v>0</v>
      </c>
    </row>
    <row r="39" spans="1:22" ht="25.5" x14ac:dyDescent="0.25">
      <c r="A39" s="2" t="s">
        <v>95</v>
      </c>
      <c r="B39" s="3" t="s">
        <v>96</v>
      </c>
      <c r="C39" s="64">
        <v>0</v>
      </c>
      <c r="D39" s="92">
        <v>2000000</v>
      </c>
      <c r="E39" s="93">
        <v>0</v>
      </c>
      <c r="F39" s="93">
        <v>0</v>
      </c>
      <c r="G39" s="94">
        <v>0</v>
      </c>
      <c r="H39" s="65">
        <f t="shared" si="7"/>
        <v>2000000</v>
      </c>
      <c r="I39" s="72"/>
      <c r="J39" s="73"/>
      <c r="K39" s="73"/>
      <c r="L39" s="73"/>
      <c r="M39" s="73"/>
      <c r="N39" s="73"/>
      <c r="O39" s="73"/>
      <c r="P39" s="73"/>
      <c r="Q39" s="73"/>
      <c r="R39" s="73"/>
      <c r="S39" s="74">
        <v>1000000</v>
      </c>
      <c r="T39" s="75">
        <v>1000000</v>
      </c>
      <c r="U39" s="99">
        <f t="shared" ref="U39" si="14">SUM(I39:T39)</f>
        <v>2000000</v>
      </c>
      <c r="V39" s="64">
        <f t="shared" ref="V39" si="15">H39-U39</f>
        <v>0</v>
      </c>
    </row>
    <row r="40" spans="1:22" ht="25.5" x14ac:dyDescent="0.25">
      <c r="A40" s="2" t="s">
        <v>61</v>
      </c>
      <c r="B40" s="3" t="s">
        <v>62</v>
      </c>
      <c r="C40" s="64">
        <v>24000000</v>
      </c>
      <c r="D40" s="92"/>
      <c r="E40" s="93">
        <v>8000000</v>
      </c>
      <c r="F40" s="93"/>
      <c r="G40" s="94"/>
      <c r="H40" s="65">
        <f t="shared" si="7"/>
        <v>16000000</v>
      </c>
      <c r="I40" s="72"/>
      <c r="J40" s="73"/>
      <c r="K40" s="73"/>
      <c r="L40" s="73"/>
      <c r="M40" s="73"/>
      <c r="N40" s="73"/>
      <c r="O40" s="73"/>
      <c r="P40" s="63">
        <v>5332000</v>
      </c>
      <c r="Q40" s="73"/>
      <c r="R40" s="73"/>
      <c r="S40" s="74">
        <v>5334000</v>
      </c>
      <c r="T40" s="75">
        <v>5334000</v>
      </c>
      <c r="U40" s="99">
        <f t="shared" si="8"/>
        <v>16000000</v>
      </c>
      <c r="V40" s="64">
        <f t="shared" si="9"/>
        <v>0</v>
      </c>
    </row>
    <row r="41" spans="1:22" ht="25.5" x14ac:dyDescent="0.25">
      <c r="A41" s="2" t="s">
        <v>81</v>
      </c>
      <c r="B41" s="3" t="s">
        <v>82</v>
      </c>
      <c r="C41" s="64">
        <v>0</v>
      </c>
      <c r="D41" s="92">
        <v>8000000</v>
      </c>
      <c r="E41" s="93"/>
      <c r="F41" s="93"/>
      <c r="G41" s="94"/>
      <c r="H41" s="65">
        <f t="shared" si="7"/>
        <v>8000000</v>
      </c>
      <c r="I41" s="72"/>
      <c r="J41" s="73"/>
      <c r="K41" s="73">
        <v>2000000</v>
      </c>
      <c r="L41" s="63">
        <v>2000000</v>
      </c>
      <c r="M41" s="63">
        <v>2000000</v>
      </c>
      <c r="N41" s="63">
        <v>2000000</v>
      </c>
      <c r="O41" s="73"/>
      <c r="P41" s="118"/>
      <c r="Q41" s="73"/>
      <c r="R41" s="73"/>
      <c r="S41" s="74"/>
      <c r="T41" s="75"/>
      <c r="U41" s="99">
        <f t="shared" si="8"/>
        <v>8000000</v>
      </c>
      <c r="V41" s="64">
        <f t="shared" si="9"/>
        <v>0</v>
      </c>
    </row>
    <row r="42" spans="1:22" ht="25.5" x14ac:dyDescent="0.25">
      <c r="A42" s="2" t="s">
        <v>63</v>
      </c>
      <c r="B42" s="3" t="s">
        <v>64</v>
      </c>
      <c r="C42" s="64">
        <v>7200000</v>
      </c>
      <c r="D42" s="92"/>
      <c r="E42" s="93"/>
      <c r="F42" s="93"/>
      <c r="G42" s="94"/>
      <c r="H42" s="65">
        <f t="shared" si="7"/>
        <v>7200000</v>
      </c>
      <c r="I42" s="72"/>
      <c r="J42" s="73"/>
      <c r="K42" s="73"/>
      <c r="L42" s="73"/>
      <c r="M42" s="73"/>
      <c r="N42" s="73"/>
      <c r="O42" s="73"/>
      <c r="P42" s="73"/>
      <c r="Q42" s="73"/>
      <c r="R42" s="73"/>
      <c r="S42" s="74">
        <v>3600000</v>
      </c>
      <c r="T42" s="75">
        <v>3600000</v>
      </c>
      <c r="U42" s="99">
        <f t="shared" si="8"/>
        <v>7200000</v>
      </c>
      <c r="V42" s="64">
        <f t="shared" si="9"/>
        <v>0</v>
      </c>
    </row>
    <row r="43" spans="1:22" ht="25.5" x14ac:dyDescent="0.25">
      <c r="A43" s="2" t="s">
        <v>65</v>
      </c>
      <c r="B43" s="3" t="s">
        <v>66</v>
      </c>
      <c r="C43" s="64">
        <v>8500000</v>
      </c>
      <c r="D43" s="92"/>
      <c r="E43" s="93">
        <v>140000</v>
      </c>
      <c r="F43" s="93"/>
      <c r="G43" s="94"/>
      <c r="H43" s="65">
        <f t="shared" si="7"/>
        <v>8360000</v>
      </c>
      <c r="I43" s="72"/>
      <c r="J43" s="73"/>
      <c r="K43" s="73"/>
      <c r="L43" s="73"/>
      <c r="M43" s="73"/>
      <c r="N43" s="73"/>
      <c r="O43" s="73"/>
      <c r="P43" s="73"/>
      <c r="Q43" s="73"/>
      <c r="R43" s="73"/>
      <c r="S43" s="74">
        <v>4180000</v>
      </c>
      <c r="T43" s="75">
        <v>4180000</v>
      </c>
      <c r="U43" s="99">
        <f t="shared" si="8"/>
        <v>8360000</v>
      </c>
      <c r="V43" s="64">
        <f t="shared" si="9"/>
        <v>0</v>
      </c>
    </row>
    <row r="44" spans="1:22" ht="25.5" x14ac:dyDescent="0.25">
      <c r="A44" s="2" t="s">
        <v>67</v>
      </c>
      <c r="B44" s="3" t="s">
        <v>68</v>
      </c>
      <c r="C44" s="64">
        <v>4800000</v>
      </c>
      <c r="D44" s="92">
        <v>500000</v>
      </c>
      <c r="E44" s="93"/>
      <c r="F44" s="93"/>
      <c r="G44" s="94"/>
      <c r="H44" s="65">
        <f t="shared" si="7"/>
        <v>5300000</v>
      </c>
      <c r="I44" s="72"/>
      <c r="J44" s="73"/>
      <c r="K44" s="73"/>
      <c r="L44" s="73"/>
      <c r="M44" s="73"/>
      <c r="N44" s="73"/>
      <c r="O44" s="73"/>
      <c r="P44" s="73"/>
      <c r="Q44" s="73"/>
      <c r="R44" s="73"/>
      <c r="S44" s="74">
        <v>2650000</v>
      </c>
      <c r="T44" s="75">
        <v>2650000</v>
      </c>
      <c r="U44" s="99">
        <f t="shared" si="8"/>
        <v>5300000</v>
      </c>
      <c r="V44" s="64">
        <f t="shared" si="9"/>
        <v>0</v>
      </c>
    </row>
    <row r="45" spans="1:22" ht="25.5" x14ac:dyDescent="0.25">
      <c r="A45" s="2" t="s">
        <v>69</v>
      </c>
      <c r="B45" s="3" t="s">
        <v>70</v>
      </c>
      <c r="C45" s="64">
        <v>6500000</v>
      </c>
      <c r="D45" s="92"/>
      <c r="E45" s="93">
        <v>1890531</v>
      </c>
      <c r="F45" s="93"/>
      <c r="G45" s="94"/>
      <c r="H45" s="65">
        <f t="shared" si="7"/>
        <v>4609469</v>
      </c>
      <c r="I45" s="72"/>
      <c r="J45" s="73"/>
      <c r="K45" s="73"/>
      <c r="L45" s="63">
        <v>688921</v>
      </c>
      <c r="M45" s="63">
        <v>742641</v>
      </c>
      <c r="N45" s="73"/>
      <c r="O45" s="73"/>
      <c r="P45" s="73"/>
      <c r="Q45" s="73"/>
      <c r="R45" s="73"/>
      <c r="S45" s="74">
        <f>3177907/2</f>
        <v>1588953.5</v>
      </c>
      <c r="T45" s="74">
        <f>3177907/2</f>
        <v>1588953.5</v>
      </c>
      <c r="U45" s="99">
        <f t="shared" si="8"/>
        <v>4609469</v>
      </c>
      <c r="V45" s="64">
        <f t="shared" si="9"/>
        <v>0</v>
      </c>
    </row>
    <row r="46" spans="1:22" ht="25.5" x14ac:dyDescent="0.25">
      <c r="A46" s="2" t="s">
        <v>71</v>
      </c>
      <c r="B46" s="3" t="s">
        <v>72</v>
      </c>
      <c r="C46" s="64">
        <v>1000</v>
      </c>
      <c r="D46" s="92">
        <v>6546317</v>
      </c>
      <c r="E46" s="93"/>
      <c r="F46" s="93"/>
      <c r="G46" s="94"/>
      <c r="H46" s="65">
        <f t="shared" si="7"/>
        <v>6547317</v>
      </c>
      <c r="I46" s="72">
        <v>46945</v>
      </c>
      <c r="J46" s="73">
        <v>1308030</v>
      </c>
      <c r="K46" s="73">
        <v>765517</v>
      </c>
      <c r="L46" s="73"/>
      <c r="M46" s="73"/>
      <c r="N46" s="73"/>
      <c r="O46" s="73"/>
      <c r="P46" s="63">
        <v>108989</v>
      </c>
      <c r="Q46" s="73">
        <v>199384</v>
      </c>
      <c r="R46" s="73">
        <v>300410</v>
      </c>
      <c r="S46" s="74">
        <f>3818042/2</f>
        <v>1909021</v>
      </c>
      <c r="T46" s="74">
        <f>3818042/2</f>
        <v>1909021</v>
      </c>
      <c r="U46" s="99">
        <f t="shared" si="8"/>
        <v>6547317</v>
      </c>
      <c r="V46" s="64">
        <f t="shared" si="9"/>
        <v>0</v>
      </c>
    </row>
    <row r="47" spans="1:22" ht="25.5" x14ac:dyDescent="0.25">
      <c r="A47" s="2" t="s">
        <v>73</v>
      </c>
      <c r="B47" s="3" t="s">
        <v>74</v>
      </c>
      <c r="C47" s="64">
        <v>1000</v>
      </c>
      <c r="D47" s="92"/>
      <c r="E47" s="93"/>
      <c r="F47" s="93"/>
      <c r="G47" s="94"/>
      <c r="H47" s="65">
        <f t="shared" si="7"/>
        <v>1000</v>
      </c>
      <c r="I47" s="72"/>
      <c r="J47" s="73"/>
      <c r="K47" s="73"/>
      <c r="L47" s="73"/>
      <c r="M47" s="73"/>
      <c r="N47" s="73"/>
      <c r="O47" s="73"/>
      <c r="P47" s="73"/>
      <c r="Q47" s="73"/>
      <c r="R47" s="73"/>
      <c r="S47" s="74">
        <v>500</v>
      </c>
      <c r="T47" s="74">
        <v>500</v>
      </c>
      <c r="U47" s="99">
        <f t="shared" si="8"/>
        <v>1000</v>
      </c>
      <c r="V47" s="64">
        <f t="shared" si="9"/>
        <v>0</v>
      </c>
    </row>
    <row r="48" spans="1:22" ht="13.5" thickBot="1" x14ac:dyDescent="0.3">
      <c r="A48" s="6"/>
      <c r="B48" s="7"/>
      <c r="C48" s="76"/>
      <c r="D48" s="100"/>
      <c r="E48" s="79"/>
      <c r="F48" s="79"/>
      <c r="G48" s="101"/>
      <c r="H48" s="102"/>
      <c r="I48" s="81"/>
      <c r="J48" s="82"/>
      <c r="K48" s="82"/>
      <c r="L48" s="82"/>
      <c r="M48" s="82"/>
      <c r="N48" s="82"/>
      <c r="O48" s="82"/>
      <c r="P48" s="82"/>
      <c r="Q48" s="82"/>
      <c r="R48" s="82"/>
      <c r="S48" s="83"/>
      <c r="T48" s="84"/>
      <c r="U48" s="103"/>
      <c r="V48" s="76"/>
    </row>
    <row r="49" spans="1:22" ht="13.5" thickBot="1" x14ac:dyDescent="0.3">
      <c r="A49" s="135" t="s">
        <v>26</v>
      </c>
      <c r="B49" s="136"/>
      <c r="C49" s="85">
        <f t="shared" ref="C49:V49" si="16">SUM(C24:C48)</f>
        <v>112503000</v>
      </c>
      <c r="D49" s="104">
        <f t="shared" si="16"/>
        <v>80501812</v>
      </c>
      <c r="E49" s="105">
        <f t="shared" si="16"/>
        <v>11616564</v>
      </c>
      <c r="F49" s="105">
        <f t="shared" si="16"/>
        <v>2351810</v>
      </c>
      <c r="G49" s="106">
        <f t="shared" si="16"/>
        <v>2351810</v>
      </c>
      <c r="H49" s="85">
        <f t="shared" si="16"/>
        <v>181388248</v>
      </c>
      <c r="I49" s="86">
        <f t="shared" si="16"/>
        <v>193196</v>
      </c>
      <c r="J49" s="87">
        <f t="shared" si="16"/>
        <v>1422627</v>
      </c>
      <c r="K49" s="87">
        <f t="shared" si="16"/>
        <v>2865774</v>
      </c>
      <c r="L49" s="87">
        <f t="shared" si="16"/>
        <v>2771864</v>
      </c>
      <c r="M49" s="87">
        <f t="shared" si="16"/>
        <v>21740084</v>
      </c>
      <c r="N49" s="87">
        <f t="shared" si="16"/>
        <v>28872612.920000002</v>
      </c>
      <c r="O49" s="87">
        <f t="shared" si="16"/>
        <v>4488340</v>
      </c>
      <c r="P49" s="87">
        <f t="shared" si="16"/>
        <v>5523932</v>
      </c>
      <c r="Q49" s="87">
        <f t="shared" si="16"/>
        <v>606959</v>
      </c>
      <c r="R49" s="87">
        <f>SUM(R24:R48)</f>
        <v>383353</v>
      </c>
      <c r="S49" s="87">
        <f>SUM(S24:S48)</f>
        <v>56259753</v>
      </c>
      <c r="T49" s="107">
        <f>SUM(T24:T48)</f>
        <v>56259753</v>
      </c>
      <c r="U49" s="108">
        <f t="shared" si="16"/>
        <v>181388247.92000002</v>
      </c>
      <c r="V49" s="85">
        <f t="shared" si="16"/>
        <v>8.0000000074505806E-2</v>
      </c>
    </row>
  </sheetData>
  <mergeCells count="71">
    <mergeCell ref="A1:V1"/>
    <mergeCell ref="A2:V2"/>
    <mergeCell ref="A3:V3"/>
    <mergeCell ref="A5:V5"/>
    <mergeCell ref="A6:A7"/>
    <mergeCell ref="B6:B7"/>
    <mergeCell ref="C6:C7"/>
    <mergeCell ref="D6:G6"/>
    <mergeCell ref="H6:H7"/>
    <mergeCell ref="I6:I7"/>
    <mergeCell ref="D9:E9"/>
    <mergeCell ref="F9:G9"/>
    <mergeCell ref="P6:P7"/>
    <mergeCell ref="Q6:Q7"/>
    <mergeCell ref="R6:R7"/>
    <mergeCell ref="J6:J7"/>
    <mergeCell ref="K6:K7"/>
    <mergeCell ref="L6:L7"/>
    <mergeCell ref="M6:M7"/>
    <mergeCell ref="N6:N7"/>
    <mergeCell ref="O6:O7"/>
    <mergeCell ref="V6:V7"/>
    <mergeCell ref="D7:E7"/>
    <mergeCell ref="F7:G7"/>
    <mergeCell ref="D8:E8"/>
    <mergeCell ref="F8:G8"/>
    <mergeCell ref="S6:S7"/>
    <mergeCell ref="T6:T7"/>
    <mergeCell ref="U6:U7"/>
    <mergeCell ref="D10:E10"/>
    <mergeCell ref="F10:G10"/>
    <mergeCell ref="D11:E11"/>
    <mergeCell ref="F11:G11"/>
    <mergeCell ref="D13:E13"/>
    <mergeCell ref="F13:G13"/>
    <mergeCell ref="D14:E14"/>
    <mergeCell ref="F14:G14"/>
    <mergeCell ref="D15:E15"/>
    <mergeCell ref="F15:G15"/>
    <mergeCell ref="D16:E16"/>
    <mergeCell ref="F16:G16"/>
    <mergeCell ref="F17:G17"/>
    <mergeCell ref="D18:E18"/>
    <mergeCell ref="F18:G18"/>
    <mergeCell ref="A19:B19"/>
    <mergeCell ref="D19:E19"/>
    <mergeCell ref="F19:G19"/>
    <mergeCell ref="D12:E12"/>
    <mergeCell ref="F12:G12"/>
    <mergeCell ref="M22:M23"/>
    <mergeCell ref="N22:N23"/>
    <mergeCell ref="O22:O23"/>
    <mergeCell ref="A21:V21"/>
    <mergeCell ref="A22:A23"/>
    <mergeCell ref="B22:B23"/>
    <mergeCell ref="C22:C23"/>
    <mergeCell ref="D22:G22"/>
    <mergeCell ref="H22:H23"/>
    <mergeCell ref="I22:I23"/>
    <mergeCell ref="J22:J23"/>
    <mergeCell ref="K22:K23"/>
    <mergeCell ref="L22:L23"/>
    <mergeCell ref="D17:E17"/>
    <mergeCell ref="S22:S23"/>
    <mergeCell ref="T22:T23"/>
    <mergeCell ref="U22:U23"/>
    <mergeCell ref="V22:V23"/>
    <mergeCell ref="A49:B49"/>
    <mergeCell ref="P22:P23"/>
    <mergeCell ref="Q22:Q23"/>
    <mergeCell ref="R22:R23"/>
  </mergeCells>
  <pageMargins left="0.39370078740157483" right="0.39370078740157483" top="0.39370078740157483" bottom="0.59055118110236227" header="0.39370078740157483" footer="0.39370078740157483"/>
  <pageSetup paperSize="258" scale="72" orientation="landscape" horizontalDpi="0" verticalDpi="0" r:id="rId1"/>
  <headerFooter>
    <oddFooter>&amp;L&amp;F&amp;C&amp;A&amp;R&amp;P de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"/>
  <sheetViews>
    <sheetView zoomScale="80" zoomScaleNormal="80" workbookViewId="0">
      <selection activeCell="A8" sqref="A8"/>
    </sheetView>
  </sheetViews>
  <sheetFormatPr baseColWidth="10" defaultColWidth="11.42578125" defaultRowHeight="12.75" x14ac:dyDescent="0.25"/>
  <cols>
    <col min="1" max="1" width="7.85546875" style="1" customWidth="1"/>
    <col min="2" max="2" width="16.85546875" style="1" customWidth="1"/>
    <col min="3" max="3" width="10.85546875" style="109" customWidth="1"/>
    <col min="4" max="7" width="9.7109375" style="109" customWidth="1"/>
    <col min="8" max="8" width="10.85546875" style="109" customWidth="1"/>
    <col min="9" max="10" width="9.7109375" style="109" customWidth="1"/>
    <col min="11" max="12" width="8.7109375" style="109" customWidth="1"/>
    <col min="13" max="14" width="9.7109375" style="109" customWidth="1"/>
    <col min="15" max="16" width="8.7109375" style="109" customWidth="1"/>
    <col min="17" max="17" width="7.7109375" style="109" customWidth="1"/>
    <col min="18" max="18" width="8.7109375" style="109" customWidth="1"/>
    <col min="19" max="19" width="9.7109375" style="109" customWidth="1"/>
    <col min="20" max="21" width="10.85546875" style="109" customWidth="1"/>
    <col min="22" max="22" width="7.7109375" style="109" customWidth="1"/>
    <col min="23" max="23" width="11.5703125" style="1" bestFit="1" customWidth="1"/>
    <col min="24" max="16384" width="11.42578125" style="1"/>
  </cols>
  <sheetData>
    <row r="1" spans="1:22" ht="13.15" x14ac:dyDescent="0.3">
      <c r="A1" s="124" t="s">
        <v>27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</row>
    <row r="2" spans="1:22" ht="13.15" x14ac:dyDescent="0.3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22" ht="13.15" x14ac:dyDescent="0.3">
      <c r="A3" s="124" t="s">
        <v>28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</row>
    <row r="5" spans="1:22" ht="13.9" thickBot="1" x14ac:dyDescent="0.35">
      <c r="A5" s="124" t="s">
        <v>1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</row>
    <row r="6" spans="1:22" x14ac:dyDescent="0.25">
      <c r="A6" s="125" t="s">
        <v>2</v>
      </c>
      <c r="B6" s="127" t="s">
        <v>3</v>
      </c>
      <c r="C6" s="154" t="s">
        <v>4</v>
      </c>
      <c r="D6" s="162" t="s">
        <v>5</v>
      </c>
      <c r="E6" s="163"/>
      <c r="F6" s="163"/>
      <c r="G6" s="164"/>
      <c r="H6" s="154" t="s">
        <v>8</v>
      </c>
      <c r="I6" s="165" t="s">
        <v>9</v>
      </c>
      <c r="J6" s="156" t="s">
        <v>10</v>
      </c>
      <c r="K6" s="156" t="s">
        <v>11</v>
      </c>
      <c r="L6" s="156" t="s">
        <v>12</v>
      </c>
      <c r="M6" s="156" t="s">
        <v>13</v>
      </c>
      <c r="N6" s="156" t="s">
        <v>14</v>
      </c>
      <c r="O6" s="156" t="s">
        <v>15</v>
      </c>
      <c r="P6" s="156" t="s">
        <v>16</v>
      </c>
      <c r="Q6" s="156" t="s">
        <v>17</v>
      </c>
      <c r="R6" s="156" t="s">
        <v>18</v>
      </c>
      <c r="S6" s="156" t="s">
        <v>19</v>
      </c>
      <c r="T6" s="158" t="s">
        <v>20</v>
      </c>
      <c r="U6" s="154" t="s">
        <v>21</v>
      </c>
      <c r="V6" s="154" t="s">
        <v>22</v>
      </c>
    </row>
    <row r="7" spans="1:22" ht="13.5" thickBot="1" x14ac:dyDescent="0.3">
      <c r="A7" s="126"/>
      <c r="B7" s="128"/>
      <c r="C7" s="155"/>
      <c r="D7" s="175" t="s">
        <v>6</v>
      </c>
      <c r="E7" s="176"/>
      <c r="F7" s="176" t="s">
        <v>7</v>
      </c>
      <c r="G7" s="177"/>
      <c r="H7" s="155"/>
      <c r="I7" s="186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7"/>
      <c r="U7" s="155"/>
      <c r="V7" s="155"/>
    </row>
    <row r="8" spans="1:22" ht="57" customHeight="1" x14ac:dyDescent="0.3">
      <c r="A8" s="2" t="s">
        <v>29</v>
      </c>
      <c r="B8" s="3" t="s">
        <v>30</v>
      </c>
      <c r="C8" s="64">
        <v>3000000</v>
      </c>
      <c r="D8" s="178">
        <v>2000000</v>
      </c>
      <c r="E8" s="179"/>
      <c r="F8" s="179"/>
      <c r="G8" s="180"/>
      <c r="H8" s="65">
        <f>C8+D8-F8</f>
        <v>5000000</v>
      </c>
      <c r="I8" s="96"/>
      <c r="J8" s="97">
        <v>0</v>
      </c>
      <c r="K8" s="97">
        <v>0</v>
      </c>
      <c r="L8" s="97"/>
      <c r="M8" s="110">
        <v>810000</v>
      </c>
      <c r="N8" s="110">
        <v>3240000</v>
      </c>
      <c r="O8" s="97"/>
      <c r="P8" s="63">
        <v>810000</v>
      </c>
      <c r="Q8" s="97"/>
      <c r="R8" s="97"/>
      <c r="S8" s="97">
        <v>810000</v>
      </c>
      <c r="T8" s="93"/>
      <c r="U8" s="64">
        <f>SUM(I8:T8)</f>
        <v>5670000</v>
      </c>
      <c r="V8" s="64">
        <f>H8-U8</f>
        <v>-670000</v>
      </c>
    </row>
    <row r="9" spans="1:22" ht="52.9" x14ac:dyDescent="0.3">
      <c r="A9" s="4" t="s">
        <v>31</v>
      </c>
      <c r="B9" s="5" t="s">
        <v>32</v>
      </c>
      <c r="C9" s="70">
        <v>3300000</v>
      </c>
      <c r="D9" s="172"/>
      <c r="E9" s="173"/>
      <c r="F9" s="173"/>
      <c r="G9" s="174"/>
      <c r="H9" s="71">
        <f t="shared" ref="H9:H18" si="0">C9+D9-F9</f>
        <v>3300000</v>
      </c>
      <c r="I9" s="72">
        <v>407000</v>
      </c>
      <c r="J9" s="73">
        <v>204500</v>
      </c>
      <c r="K9" s="73">
        <v>139000</v>
      </c>
      <c r="L9" s="73">
        <v>42000</v>
      </c>
      <c r="M9" s="63">
        <v>252000</v>
      </c>
      <c r="N9" s="63">
        <v>84000</v>
      </c>
      <c r="O9" s="73">
        <v>91000</v>
      </c>
      <c r="P9" s="63">
        <v>105000</v>
      </c>
      <c r="Q9" s="63">
        <v>133000</v>
      </c>
      <c r="R9" s="73">
        <v>210000</v>
      </c>
      <c r="S9" s="73">
        <v>448000</v>
      </c>
      <c r="T9" s="74">
        <v>1184500</v>
      </c>
      <c r="U9" s="70">
        <f t="shared" ref="U9:U18" si="1">SUM(I9:T9)</f>
        <v>3300000</v>
      </c>
      <c r="V9" s="70">
        <f t="shared" ref="V9:V18" si="2">H9-U9</f>
        <v>0</v>
      </c>
    </row>
    <row r="10" spans="1:22" ht="39.6" x14ac:dyDescent="0.3">
      <c r="A10" s="4" t="s">
        <v>33</v>
      </c>
      <c r="B10" s="5" t="s">
        <v>34</v>
      </c>
      <c r="C10" s="70">
        <v>78000000</v>
      </c>
      <c r="D10" s="172"/>
      <c r="E10" s="173"/>
      <c r="F10" s="173">
        <v>11616564</v>
      </c>
      <c r="G10" s="174"/>
      <c r="H10" s="71">
        <f t="shared" si="0"/>
        <v>66383436</v>
      </c>
      <c r="I10" s="72"/>
      <c r="J10" s="73">
        <v>62478528</v>
      </c>
      <c r="K10" s="73"/>
      <c r="L10" s="73"/>
      <c r="M10" s="73"/>
      <c r="N10" s="73"/>
      <c r="O10" s="73"/>
      <c r="P10" s="73"/>
      <c r="Q10" s="73"/>
      <c r="R10" s="73">
        <v>3904908</v>
      </c>
      <c r="S10" s="73"/>
      <c r="T10" s="75">
        <v>0</v>
      </c>
      <c r="U10" s="70">
        <f t="shared" si="1"/>
        <v>66383436</v>
      </c>
      <c r="V10" s="70">
        <f t="shared" si="2"/>
        <v>0</v>
      </c>
    </row>
    <row r="11" spans="1:22" ht="26.45" x14ac:dyDescent="0.3">
      <c r="A11" s="4" t="s">
        <v>35</v>
      </c>
      <c r="B11" s="5" t="s">
        <v>36</v>
      </c>
      <c r="C11" s="70">
        <v>28000000</v>
      </c>
      <c r="D11" s="172">
        <v>6440000</v>
      </c>
      <c r="E11" s="173"/>
      <c r="F11" s="173"/>
      <c r="G11" s="174"/>
      <c r="H11" s="71">
        <f t="shared" si="0"/>
        <v>34440000</v>
      </c>
      <c r="I11" s="72"/>
      <c r="J11" s="73"/>
      <c r="K11" s="73"/>
      <c r="L11" s="73"/>
      <c r="M11" s="73"/>
      <c r="N11" s="73"/>
      <c r="O11" s="73"/>
      <c r="P11" s="73"/>
      <c r="Q11" s="73"/>
      <c r="R11" s="73"/>
      <c r="S11" s="73">
        <v>34440000</v>
      </c>
      <c r="T11" s="75">
        <v>0</v>
      </c>
      <c r="U11" s="70">
        <f t="shared" si="1"/>
        <v>34440000</v>
      </c>
      <c r="V11" s="70">
        <f t="shared" si="2"/>
        <v>0</v>
      </c>
    </row>
    <row r="12" spans="1:22" ht="26.45" x14ac:dyDescent="0.3">
      <c r="A12" s="4" t="s">
        <v>89</v>
      </c>
      <c r="B12" s="5" t="s">
        <v>90</v>
      </c>
      <c r="C12" s="70">
        <v>0</v>
      </c>
      <c r="D12" s="172">
        <v>20000000</v>
      </c>
      <c r="E12" s="173"/>
      <c r="F12" s="173"/>
      <c r="G12" s="174"/>
      <c r="H12" s="71">
        <f t="shared" si="0"/>
        <v>20000000</v>
      </c>
      <c r="I12" s="72"/>
      <c r="J12" s="73"/>
      <c r="K12" s="73"/>
      <c r="L12" s="73"/>
      <c r="M12" s="73"/>
      <c r="N12" s="73"/>
      <c r="O12" s="73"/>
      <c r="P12" s="73"/>
      <c r="Q12" s="73"/>
      <c r="R12" s="73"/>
      <c r="S12" s="73">
        <v>20000000</v>
      </c>
      <c r="T12" s="75">
        <v>0</v>
      </c>
      <c r="U12" s="70">
        <f t="shared" si="1"/>
        <v>20000000</v>
      </c>
      <c r="V12" s="70">
        <f t="shared" si="2"/>
        <v>0</v>
      </c>
    </row>
    <row r="13" spans="1:22" ht="26.45" x14ac:dyDescent="0.3">
      <c r="A13" s="4" t="s">
        <v>37</v>
      </c>
      <c r="B13" s="5" t="s">
        <v>38</v>
      </c>
      <c r="C13" s="70">
        <v>200000</v>
      </c>
      <c r="D13" s="172"/>
      <c r="E13" s="173"/>
      <c r="F13" s="173"/>
      <c r="G13" s="174"/>
      <c r="H13" s="71">
        <f t="shared" si="0"/>
        <v>200000</v>
      </c>
      <c r="I13" s="72">
        <v>1100</v>
      </c>
      <c r="J13" s="73">
        <v>1787</v>
      </c>
      <c r="K13" s="73">
        <v>6206</v>
      </c>
      <c r="L13" s="63">
        <v>5859</v>
      </c>
      <c r="M13" s="63">
        <v>5872</v>
      </c>
      <c r="N13" s="63">
        <v>5641</v>
      </c>
      <c r="O13" s="73">
        <v>5794</v>
      </c>
      <c r="P13" s="63">
        <v>5254</v>
      </c>
      <c r="Q13" s="73">
        <v>3920</v>
      </c>
      <c r="R13" s="73">
        <v>3921</v>
      </c>
      <c r="S13" s="73">
        <v>3345</v>
      </c>
      <c r="T13" s="74">
        <v>151301</v>
      </c>
      <c r="U13" s="70">
        <f t="shared" si="1"/>
        <v>200000</v>
      </c>
      <c r="V13" s="70">
        <f t="shared" si="2"/>
        <v>0</v>
      </c>
    </row>
    <row r="14" spans="1:22" ht="38.25" x14ac:dyDescent="0.25">
      <c r="A14" s="116" t="s">
        <v>83</v>
      </c>
      <c r="B14" s="116" t="s">
        <v>84</v>
      </c>
      <c r="C14" s="76">
        <v>0</v>
      </c>
      <c r="D14" s="172">
        <v>500000</v>
      </c>
      <c r="E14" s="173"/>
      <c r="F14" s="173"/>
      <c r="G14" s="174"/>
      <c r="H14" s="71">
        <f t="shared" si="0"/>
        <v>500000</v>
      </c>
      <c r="I14" s="77"/>
      <c r="J14" s="78"/>
      <c r="K14" s="78"/>
      <c r="L14" s="117"/>
      <c r="M14" s="117"/>
      <c r="N14" s="117"/>
      <c r="O14" s="78"/>
      <c r="P14" s="117"/>
      <c r="Q14" s="78">
        <v>500000</v>
      </c>
      <c r="R14" s="78"/>
      <c r="S14" s="78"/>
      <c r="T14" s="80">
        <v>0</v>
      </c>
      <c r="U14" s="70">
        <f t="shared" si="1"/>
        <v>500000</v>
      </c>
      <c r="V14" s="70">
        <f t="shared" si="2"/>
        <v>0</v>
      </c>
    </row>
    <row r="15" spans="1:22" ht="26.45" x14ac:dyDescent="0.3">
      <c r="A15" s="6" t="s">
        <v>39</v>
      </c>
      <c r="B15" s="7" t="s">
        <v>40</v>
      </c>
      <c r="C15" s="76">
        <v>1000</v>
      </c>
      <c r="D15" s="172">
        <v>1075935</v>
      </c>
      <c r="E15" s="173"/>
      <c r="F15" s="173"/>
      <c r="G15" s="174"/>
      <c r="H15" s="71">
        <f t="shared" si="0"/>
        <v>1076935</v>
      </c>
      <c r="I15" s="77">
        <v>1075935</v>
      </c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80">
        <v>1000</v>
      </c>
      <c r="U15" s="70">
        <f t="shared" si="1"/>
        <v>1076935</v>
      </c>
      <c r="V15" s="70">
        <f t="shared" si="2"/>
        <v>0</v>
      </c>
    </row>
    <row r="16" spans="1:22" ht="26.45" x14ac:dyDescent="0.3">
      <c r="A16" s="6" t="s">
        <v>41</v>
      </c>
      <c r="B16" s="7" t="s">
        <v>42</v>
      </c>
      <c r="C16" s="76">
        <v>1000</v>
      </c>
      <c r="D16" s="172">
        <v>30546317</v>
      </c>
      <c r="E16" s="173"/>
      <c r="F16" s="173"/>
      <c r="G16" s="174"/>
      <c r="H16" s="71">
        <f t="shared" si="0"/>
        <v>30547317</v>
      </c>
      <c r="I16" s="77">
        <v>30546317</v>
      </c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80">
        <v>1000</v>
      </c>
      <c r="U16" s="70">
        <f t="shared" si="1"/>
        <v>30547317</v>
      </c>
      <c r="V16" s="70">
        <f t="shared" si="2"/>
        <v>0</v>
      </c>
    </row>
    <row r="17" spans="1:22" ht="26.45" x14ac:dyDescent="0.3">
      <c r="A17" s="6" t="s">
        <v>43</v>
      </c>
      <c r="B17" s="7" t="s">
        <v>44</v>
      </c>
      <c r="C17" s="76">
        <v>1000</v>
      </c>
      <c r="D17" s="172">
        <v>19939560</v>
      </c>
      <c r="E17" s="173"/>
      <c r="F17" s="173"/>
      <c r="G17" s="174"/>
      <c r="H17" s="71">
        <f t="shared" si="0"/>
        <v>19940560</v>
      </c>
      <c r="I17" s="77">
        <v>19939560</v>
      </c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80">
        <v>1000</v>
      </c>
      <c r="U17" s="70">
        <f t="shared" si="1"/>
        <v>19940560</v>
      </c>
      <c r="V17" s="70">
        <f t="shared" si="2"/>
        <v>0</v>
      </c>
    </row>
    <row r="18" spans="1:22" ht="13.5" thickBot="1" x14ac:dyDescent="0.3">
      <c r="A18" s="6"/>
      <c r="B18" s="7"/>
      <c r="C18" s="76"/>
      <c r="D18" s="167"/>
      <c r="E18" s="168"/>
      <c r="F18" s="168"/>
      <c r="G18" s="169"/>
      <c r="H18" s="71">
        <f t="shared" si="0"/>
        <v>0</v>
      </c>
      <c r="I18" s="81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4">
        <v>0</v>
      </c>
      <c r="U18" s="70">
        <f t="shared" si="1"/>
        <v>0</v>
      </c>
      <c r="V18" s="70">
        <f t="shared" si="2"/>
        <v>0</v>
      </c>
    </row>
    <row r="19" spans="1:22" ht="13.5" thickBot="1" x14ac:dyDescent="0.3">
      <c r="A19" s="135" t="s">
        <v>26</v>
      </c>
      <c r="B19" s="136"/>
      <c r="C19" s="85">
        <f>SUM(C8:C18)</f>
        <v>112503000</v>
      </c>
      <c r="D19" s="170">
        <f>SUM(D8:E18)</f>
        <v>80501812</v>
      </c>
      <c r="E19" s="171"/>
      <c r="F19" s="170">
        <f>SUM(F8:G18)</f>
        <v>11616564</v>
      </c>
      <c r="G19" s="171"/>
      <c r="H19" s="85">
        <f t="shared" ref="H19:V19" si="3">SUM(H8:H18)</f>
        <v>181388248</v>
      </c>
      <c r="I19" s="86">
        <f t="shared" si="3"/>
        <v>51969912</v>
      </c>
      <c r="J19" s="87">
        <f t="shared" si="3"/>
        <v>62684815</v>
      </c>
      <c r="K19" s="87">
        <f t="shared" si="3"/>
        <v>145206</v>
      </c>
      <c r="L19" s="87">
        <f t="shared" si="3"/>
        <v>47859</v>
      </c>
      <c r="M19" s="87">
        <f t="shared" si="3"/>
        <v>1067872</v>
      </c>
      <c r="N19" s="111">
        <f t="shared" si="3"/>
        <v>3329641</v>
      </c>
      <c r="O19" s="87">
        <f t="shared" si="3"/>
        <v>96794</v>
      </c>
      <c r="P19" s="87">
        <f t="shared" si="3"/>
        <v>920254</v>
      </c>
      <c r="Q19" s="87">
        <f t="shared" si="3"/>
        <v>636920</v>
      </c>
      <c r="R19" s="87">
        <f t="shared" si="3"/>
        <v>4118829</v>
      </c>
      <c r="S19" s="87">
        <f t="shared" si="3"/>
        <v>55701345</v>
      </c>
      <c r="T19" s="88">
        <f t="shared" si="3"/>
        <v>1338801</v>
      </c>
      <c r="U19" s="85">
        <f t="shared" si="3"/>
        <v>182058248</v>
      </c>
      <c r="V19" s="85">
        <f t="shared" si="3"/>
        <v>-670000</v>
      </c>
    </row>
    <row r="21" spans="1:22" ht="13.5" thickBot="1" x14ac:dyDescent="0.3">
      <c r="A21" s="124" t="s">
        <v>23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</row>
    <row r="22" spans="1:22" x14ac:dyDescent="0.25">
      <c r="A22" s="133" t="s">
        <v>2</v>
      </c>
      <c r="B22" s="127" t="s">
        <v>3</v>
      </c>
      <c r="C22" s="154" t="s">
        <v>4</v>
      </c>
      <c r="D22" s="162" t="s">
        <v>5</v>
      </c>
      <c r="E22" s="163"/>
      <c r="F22" s="163"/>
      <c r="G22" s="164"/>
      <c r="H22" s="154" t="s">
        <v>8</v>
      </c>
      <c r="I22" s="165" t="s">
        <v>9</v>
      </c>
      <c r="J22" s="156" t="s">
        <v>10</v>
      </c>
      <c r="K22" s="156" t="s">
        <v>11</v>
      </c>
      <c r="L22" s="156" t="s">
        <v>12</v>
      </c>
      <c r="M22" s="156" t="s">
        <v>13</v>
      </c>
      <c r="N22" s="156" t="s">
        <v>14</v>
      </c>
      <c r="O22" s="156" t="s">
        <v>15</v>
      </c>
      <c r="P22" s="156" t="s">
        <v>16</v>
      </c>
      <c r="Q22" s="156" t="s">
        <v>17</v>
      </c>
      <c r="R22" s="156" t="s">
        <v>18</v>
      </c>
      <c r="S22" s="156" t="s">
        <v>19</v>
      </c>
      <c r="T22" s="158" t="s">
        <v>20</v>
      </c>
      <c r="U22" s="160" t="s">
        <v>21</v>
      </c>
      <c r="V22" s="154" t="s">
        <v>22</v>
      </c>
    </row>
    <row r="23" spans="1:22" ht="39" thickBot="1" x14ac:dyDescent="0.3">
      <c r="A23" s="149"/>
      <c r="B23" s="128"/>
      <c r="C23" s="155"/>
      <c r="D23" s="89" t="s">
        <v>6</v>
      </c>
      <c r="E23" s="90" t="s">
        <v>7</v>
      </c>
      <c r="F23" s="90" t="s">
        <v>24</v>
      </c>
      <c r="G23" s="91" t="s">
        <v>25</v>
      </c>
      <c r="H23" s="155"/>
      <c r="I23" s="166"/>
      <c r="J23" s="157"/>
      <c r="K23" s="157"/>
      <c r="L23" s="157"/>
      <c r="M23" s="185"/>
      <c r="N23" s="157"/>
      <c r="O23" s="157"/>
      <c r="P23" s="157"/>
      <c r="Q23" s="157"/>
      <c r="R23" s="157"/>
      <c r="S23" s="157"/>
      <c r="T23" s="159"/>
      <c r="U23" s="161"/>
      <c r="V23" s="155"/>
    </row>
    <row r="24" spans="1:22" ht="38.25" x14ac:dyDescent="0.25">
      <c r="A24" s="2" t="s">
        <v>75</v>
      </c>
      <c r="B24" s="3" t="s">
        <v>76</v>
      </c>
      <c r="C24" s="64">
        <v>0</v>
      </c>
      <c r="D24" s="92">
        <v>19939560</v>
      </c>
      <c r="E24" s="93"/>
      <c r="F24" s="93">
        <v>0</v>
      </c>
      <c r="G24" s="94">
        <v>1025060</v>
      </c>
      <c r="H24" s="65">
        <f>C24+D24-E24+F24-G24</f>
        <v>18914500</v>
      </c>
      <c r="I24" s="66"/>
      <c r="J24" s="67"/>
      <c r="K24" s="67"/>
      <c r="L24" s="67"/>
      <c r="M24" s="110">
        <v>18914500</v>
      </c>
      <c r="N24" s="67"/>
      <c r="O24" s="67"/>
      <c r="P24" s="67"/>
      <c r="Q24" s="67"/>
      <c r="R24" s="67"/>
      <c r="S24" s="67"/>
      <c r="T24" s="69">
        <v>0</v>
      </c>
      <c r="U24" s="95">
        <f>SUM(I24:T24)</f>
        <v>18914500</v>
      </c>
      <c r="V24" s="64">
        <f>H24-U24</f>
        <v>0</v>
      </c>
    </row>
    <row r="25" spans="1:22" ht="38.25" x14ac:dyDescent="0.25">
      <c r="A25" s="2" t="s">
        <v>45</v>
      </c>
      <c r="B25" s="3" t="s">
        <v>46</v>
      </c>
      <c r="C25" s="64">
        <v>18500000</v>
      </c>
      <c r="D25" s="92"/>
      <c r="E25" s="93"/>
      <c r="F25" s="93">
        <v>2300000</v>
      </c>
      <c r="G25" s="94">
        <v>0</v>
      </c>
      <c r="H25" s="65">
        <f t="shared" ref="H25:H48" si="4">C25+D25-E25+F25-G25</f>
        <v>20800000</v>
      </c>
      <c r="I25" s="96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8">
        <v>20800000</v>
      </c>
      <c r="U25" s="99">
        <f t="shared" ref="U25:U48" si="5">SUM(I25:T25)</f>
        <v>20800000</v>
      </c>
      <c r="V25" s="64">
        <f t="shared" ref="V25:V48" si="6">H25-U25</f>
        <v>0</v>
      </c>
    </row>
    <row r="26" spans="1:22" ht="38.25" x14ac:dyDescent="0.25">
      <c r="A26" s="2" t="s">
        <v>77</v>
      </c>
      <c r="B26" s="3" t="s">
        <v>78</v>
      </c>
      <c r="C26" s="64">
        <v>0</v>
      </c>
      <c r="D26" s="92">
        <v>16000000</v>
      </c>
      <c r="E26" s="93"/>
      <c r="F26" s="93">
        <v>0</v>
      </c>
      <c r="G26" s="94">
        <v>1808750</v>
      </c>
      <c r="H26" s="65">
        <f t="shared" si="4"/>
        <v>14191250</v>
      </c>
      <c r="I26" s="96"/>
      <c r="J26" s="97"/>
      <c r="K26" s="97"/>
      <c r="L26" s="97"/>
      <c r="M26" s="97"/>
      <c r="N26" s="63">
        <v>13781100</v>
      </c>
      <c r="O26" s="97"/>
      <c r="P26" s="97"/>
      <c r="Q26" s="97"/>
      <c r="R26" s="97"/>
      <c r="S26" s="97"/>
      <c r="T26" s="93">
        <v>410150</v>
      </c>
      <c r="U26" s="99">
        <f t="shared" si="5"/>
        <v>14191250</v>
      </c>
      <c r="V26" s="64">
        <f t="shared" si="6"/>
        <v>0</v>
      </c>
    </row>
    <row r="27" spans="1:22" ht="38.25" x14ac:dyDescent="0.25">
      <c r="A27" s="2" t="s">
        <v>97</v>
      </c>
      <c r="B27" s="3" t="s">
        <v>98</v>
      </c>
      <c r="C27" s="64">
        <v>0</v>
      </c>
      <c r="D27" s="92">
        <v>0</v>
      </c>
      <c r="E27" s="93">
        <v>0</v>
      </c>
      <c r="F27" s="93">
        <v>482000</v>
      </c>
      <c r="G27" s="94">
        <v>0</v>
      </c>
      <c r="H27" s="65">
        <f t="shared" si="4"/>
        <v>482000</v>
      </c>
      <c r="I27" s="96"/>
      <c r="J27" s="97"/>
      <c r="K27" s="97"/>
      <c r="L27" s="97"/>
      <c r="M27" s="97"/>
      <c r="N27" s="63"/>
      <c r="O27" s="97"/>
      <c r="P27" s="97"/>
      <c r="Q27" s="97"/>
      <c r="R27" s="97"/>
      <c r="S27" s="97"/>
      <c r="T27" s="98">
        <v>482000</v>
      </c>
      <c r="U27" s="99">
        <f t="shared" ref="U27" si="7">SUM(I27:T27)</f>
        <v>482000</v>
      </c>
      <c r="V27" s="64">
        <f t="shared" ref="V27" si="8">H27-U27</f>
        <v>0</v>
      </c>
    </row>
    <row r="28" spans="1:22" ht="25.5" x14ac:dyDescent="0.25">
      <c r="A28" s="2" t="s">
        <v>47</v>
      </c>
      <c r="B28" s="3" t="s">
        <v>48</v>
      </c>
      <c r="C28" s="64">
        <v>14000000</v>
      </c>
      <c r="D28" s="92"/>
      <c r="E28" s="93">
        <v>991430</v>
      </c>
      <c r="F28" s="93">
        <v>5544602</v>
      </c>
      <c r="G28" s="94">
        <v>0</v>
      </c>
      <c r="H28" s="65">
        <f t="shared" si="4"/>
        <v>18553172</v>
      </c>
      <c r="I28" s="72"/>
      <c r="J28" s="73"/>
      <c r="K28" s="73"/>
      <c r="L28" s="73"/>
      <c r="M28" s="73"/>
      <c r="N28" s="63">
        <v>13008569.92</v>
      </c>
      <c r="O28" s="73"/>
      <c r="P28" s="73"/>
      <c r="Q28" s="73"/>
      <c r="R28" s="73"/>
      <c r="S28" s="73"/>
      <c r="T28" s="75">
        <v>5544602.0800000001</v>
      </c>
      <c r="U28" s="99">
        <f t="shared" si="5"/>
        <v>18553172</v>
      </c>
      <c r="V28" s="64">
        <f t="shared" si="6"/>
        <v>0</v>
      </c>
    </row>
    <row r="29" spans="1:22" ht="25.5" x14ac:dyDescent="0.25">
      <c r="A29" s="2" t="s">
        <v>91</v>
      </c>
      <c r="B29" s="3" t="s">
        <v>92</v>
      </c>
      <c r="C29" s="64">
        <v>0</v>
      </c>
      <c r="D29" s="92">
        <v>6440000</v>
      </c>
      <c r="E29" s="93">
        <v>0</v>
      </c>
      <c r="F29" s="93">
        <v>0</v>
      </c>
      <c r="G29" s="94">
        <v>0</v>
      </c>
      <c r="H29" s="65">
        <f t="shared" si="4"/>
        <v>6440000</v>
      </c>
      <c r="I29" s="72"/>
      <c r="J29" s="73"/>
      <c r="K29" s="73"/>
      <c r="L29" s="73"/>
      <c r="M29" s="73"/>
      <c r="N29" s="63"/>
      <c r="O29" s="73"/>
      <c r="P29" s="73"/>
      <c r="Q29" s="73"/>
      <c r="R29" s="73"/>
      <c r="S29" s="73"/>
      <c r="T29" s="75">
        <v>6440000</v>
      </c>
      <c r="U29" s="99">
        <f t="shared" si="5"/>
        <v>6440000</v>
      </c>
      <c r="V29" s="64">
        <f t="shared" si="6"/>
        <v>0</v>
      </c>
    </row>
    <row r="30" spans="1:22" ht="38.25" x14ac:dyDescent="0.25">
      <c r="A30" s="2" t="s">
        <v>49</v>
      </c>
      <c r="B30" s="3" t="s">
        <v>50</v>
      </c>
      <c r="C30" s="64">
        <v>1000</v>
      </c>
      <c r="D30" s="92"/>
      <c r="E30" s="93"/>
      <c r="F30" s="93"/>
      <c r="G30" s="94"/>
      <c r="H30" s="65">
        <f t="shared" si="4"/>
        <v>1000</v>
      </c>
      <c r="I30" s="72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5">
        <v>1000</v>
      </c>
      <c r="U30" s="99">
        <f t="shared" si="5"/>
        <v>1000</v>
      </c>
      <c r="V30" s="64">
        <f t="shared" si="6"/>
        <v>0</v>
      </c>
    </row>
    <row r="31" spans="1:22" ht="25.5" x14ac:dyDescent="0.25">
      <c r="A31" s="2" t="s">
        <v>51</v>
      </c>
      <c r="B31" s="3" t="s">
        <v>52</v>
      </c>
      <c r="C31" s="64">
        <v>20000000</v>
      </c>
      <c r="D31" s="92"/>
      <c r="E31" s="93"/>
      <c r="F31" s="93">
        <v>0</v>
      </c>
      <c r="G31" s="94">
        <v>2366695</v>
      </c>
      <c r="H31" s="65">
        <f t="shared" si="4"/>
        <v>17633305</v>
      </c>
      <c r="I31" s="72"/>
      <c r="J31" s="73"/>
      <c r="K31" s="73"/>
      <c r="L31" s="73"/>
      <c r="M31" s="73"/>
      <c r="N31" s="73"/>
      <c r="O31" s="73"/>
      <c r="P31" s="73"/>
      <c r="Q31" s="73"/>
      <c r="R31" s="73"/>
      <c r="S31" s="73">
        <v>7373125</v>
      </c>
      <c r="T31" s="75">
        <v>10260180</v>
      </c>
      <c r="U31" s="99">
        <f t="shared" si="5"/>
        <v>17633305</v>
      </c>
      <c r="V31" s="64">
        <f t="shared" si="6"/>
        <v>0</v>
      </c>
    </row>
    <row r="32" spans="1:22" ht="25.5" x14ac:dyDescent="0.25">
      <c r="A32" s="2" t="s">
        <v>53</v>
      </c>
      <c r="B32" s="3" t="s">
        <v>54</v>
      </c>
      <c r="C32" s="64">
        <v>2300000</v>
      </c>
      <c r="D32" s="92"/>
      <c r="E32" s="93"/>
      <c r="F32" s="93">
        <v>4900000</v>
      </c>
      <c r="G32" s="94">
        <v>0</v>
      </c>
      <c r="H32" s="65">
        <f t="shared" si="4"/>
        <v>7200000</v>
      </c>
      <c r="I32" s="72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5">
        <v>7200000</v>
      </c>
      <c r="U32" s="99">
        <f t="shared" si="5"/>
        <v>7200000</v>
      </c>
      <c r="V32" s="64">
        <f t="shared" si="6"/>
        <v>0</v>
      </c>
    </row>
    <row r="33" spans="1:22" ht="38.25" x14ac:dyDescent="0.25">
      <c r="A33" s="2" t="s">
        <v>85</v>
      </c>
      <c r="B33" s="3" t="s">
        <v>86</v>
      </c>
      <c r="C33" s="64">
        <v>0</v>
      </c>
      <c r="D33" s="92">
        <v>0</v>
      </c>
      <c r="E33" s="93">
        <v>0</v>
      </c>
      <c r="F33" s="93">
        <v>1808750</v>
      </c>
      <c r="G33" s="94">
        <v>0</v>
      </c>
      <c r="H33" s="65">
        <f t="shared" si="4"/>
        <v>1808750</v>
      </c>
      <c r="I33" s="72"/>
      <c r="J33" s="73"/>
      <c r="K33" s="73"/>
      <c r="L33" s="73"/>
      <c r="M33" s="73"/>
      <c r="N33" s="73"/>
      <c r="O33" s="73"/>
      <c r="P33" s="73"/>
      <c r="Q33" s="73"/>
      <c r="R33" s="73"/>
      <c r="S33" s="73">
        <v>1808750</v>
      </c>
      <c r="T33" s="74">
        <v>0</v>
      </c>
      <c r="U33" s="99">
        <f t="shared" si="5"/>
        <v>1808750</v>
      </c>
      <c r="V33" s="64">
        <f t="shared" si="6"/>
        <v>0</v>
      </c>
    </row>
    <row r="34" spans="1:22" ht="38.25" x14ac:dyDescent="0.25">
      <c r="A34" s="2" t="s">
        <v>87</v>
      </c>
      <c r="B34" s="3" t="s">
        <v>88</v>
      </c>
      <c r="C34" s="64">
        <v>0</v>
      </c>
      <c r="D34" s="92">
        <v>0</v>
      </c>
      <c r="E34" s="93">
        <v>0</v>
      </c>
      <c r="F34" s="93">
        <v>543060</v>
      </c>
      <c r="G34" s="94">
        <v>0</v>
      </c>
      <c r="H34" s="65">
        <f t="shared" si="4"/>
        <v>543060</v>
      </c>
      <c r="I34" s="72"/>
      <c r="J34" s="73"/>
      <c r="K34" s="73"/>
      <c r="L34" s="73"/>
      <c r="M34" s="73"/>
      <c r="N34" s="73"/>
      <c r="O34" s="73"/>
      <c r="P34" s="73"/>
      <c r="Q34" s="73"/>
      <c r="R34" s="73"/>
      <c r="S34" s="73">
        <v>543060</v>
      </c>
      <c r="T34" s="74">
        <v>0</v>
      </c>
      <c r="U34" s="99">
        <f t="shared" si="5"/>
        <v>543060</v>
      </c>
      <c r="V34" s="64">
        <f t="shared" si="6"/>
        <v>0</v>
      </c>
    </row>
    <row r="35" spans="1:22" ht="25.5" x14ac:dyDescent="0.25">
      <c r="A35" s="2" t="s">
        <v>55</v>
      </c>
      <c r="B35" s="3" t="s">
        <v>56</v>
      </c>
      <c r="C35" s="64">
        <v>200000</v>
      </c>
      <c r="D35" s="92"/>
      <c r="E35" s="93"/>
      <c r="F35" s="93"/>
      <c r="G35" s="94"/>
      <c r="H35" s="65">
        <f t="shared" si="4"/>
        <v>200000</v>
      </c>
      <c r="I35" s="72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5">
        <v>200000</v>
      </c>
      <c r="U35" s="99">
        <f t="shared" si="5"/>
        <v>200000</v>
      </c>
      <c r="V35" s="64">
        <f t="shared" si="6"/>
        <v>0</v>
      </c>
    </row>
    <row r="36" spans="1:22" ht="25.5" x14ac:dyDescent="0.25">
      <c r="A36" s="2" t="s">
        <v>93</v>
      </c>
      <c r="B36" s="3" t="s">
        <v>94</v>
      </c>
      <c r="C36" s="64">
        <v>0</v>
      </c>
      <c r="D36" s="92">
        <v>20000000</v>
      </c>
      <c r="E36" s="93">
        <v>0</v>
      </c>
      <c r="F36" s="93">
        <v>0</v>
      </c>
      <c r="G36" s="94">
        <v>0</v>
      </c>
      <c r="H36" s="65">
        <f t="shared" si="4"/>
        <v>20000000</v>
      </c>
      <c r="I36" s="72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5">
        <v>20000000</v>
      </c>
      <c r="U36" s="99">
        <f t="shared" si="5"/>
        <v>20000000</v>
      </c>
      <c r="V36" s="64">
        <f t="shared" si="6"/>
        <v>0</v>
      </c>
    </row>
    <row r="37" spans="1:22" ht="38.25" x14ac:dyDescent="0.25">
      <c r="A37" s="2" t="s">
        <v>57</v>
      </c>
      <c r="B37" s="3" t="s">
        <v>58</v>
      </c>
      <c r="C37" s="64">
        <v>1500000</v>
      </c>
      <c r="D37" s="92"/>
      <c r="E37" s="93"/>
      <c r="F37" s="93"/>
      <c r="G37" s="94"/>
      <c r="H37" s="65">
        <f t="shared" si="4"/>
        <v>1500000</v>
      </c>
      <c r="I37" s="72">
        <v>146251</v>
      </c>
      <c r="J37" s="73">
        <v>114597</v>
      </c>
      <c r="K37" s="73">
        <v>100257</v>
      </c>
      <c r="L37" s="73"/>
      <c r="M37" s="63">
        <v>82943</v>
      </c>
      <c r="N37" s="63">
        <v>82943</v>
      </c>
      <c r="O37" s="73">
        <v>82943</v>
      </c>
      <c r="P37" s="63">
        <v>82943</v>
      </c>
      <c r="Q37" s="73">
        <v>407575</v>
      </c>
      <c r="R37" s="73">
        <v>82943</v>
      </c>
      <c r="S37" s="73">
        <v>213367</v>
      </c>
      <c r="T37" s="74">
        <v>103238</v>
      </c>
      <c r="U37" s="99">
        <f t="shared" si="5"/>
        <v>1500000</v>
      </c>
      <c r="V37" s="64">
        <f t="shared" si="6"/>
        <v>0</v>
      </c>
    </row>
    <row r="38" spans="1:22" ht="38.25" x14ac:dyDescent="0.25">
      <c r="A38" s="2" t="s">
        <v>79</v>
      </c>
      <c r="B38" s="3" t="s">
        <v>80</v>
      </c>
      <c r="C38" s="64">
        <v>0</v>
      </c>
      <c r="D38" s="92">
        <v>1075935</v>
      </c>
      <c r="E38" s="93"/>
      <c r="F38" s="93"/>
      <c r="G38" s="94"/>
      <c r="H38" s="65">
        <f t="shared" si="4"/>
        <v>1075935</v>
      </c>
      <c r="I38" s="72"/>
      <c r="J38" s="73"/>
      <c r="K38" s="73"/>
      <c r="L38" s="63">
        <v>82943</v>
      </c>
      <c r="M38" s="73"/>
      <c r="N38" s="73"/>
      <c r="O38" s="73"/>
      <c r="P38" s="73"/>
      <c r="Q38" s="73"/>
      <c r="R38" s="73"/>
      <c r="S38" s="73"/>
      <c r="T38" s="74">
        <v>992992</v>
      </c>
      <c r="U38" s="99">
        <f t="shared" si="5"/>
        <v>1075935</v>
      </c>
      <c r="V38" s="64">
        <f t="shared" si="6"/>
        <v>0</v>
      </c>
    </row>
    <row r="39" spans="1:22" ht="38.25" x14ac:dyDescent="0.25">
      <c r="A39" s="2" t="s">
        <v>59</v>
      </c>
      <c r="B39" s="3" t="s">
        <v>60</v>
      </c>
      <c r="C39" s="64">
        <v>5000000</v>
      </c>
      <c r="D39" s="92"/>
      <c r="E39" s="93">
        <v>594603</v>
      </c>
      <c r="F39" s="93"/>
      <c r="G39" s="94"/>
      <c r="H39" s="65">
        <f t="shared" si="4"/>
        <v>4405397</v>
      </c>
      <c r="I39" s="72"/>
      <c r="J39" s="73"/>
      <c r="K39" s="73"/>
      <c r="L39" s="73"/>
      <c r="M39" s="73"/>
      <c r="N39" s="73"/>
      <c r="O39" s="73">
        <v>4405397</v>
      </c>
      <c r="P39" s="73"/>
      <c r="Q39" s="73"/>
      <c r="R39" s="73"/>
      <c r="S39" s="73"/>
      <c r="T39" s="74">
        <v>0</v>
      </c>
      <c r="U39" s="99">
        <f t="shared" si="5"/>
        <v>4405397</v>
      </c>
      <c r="V39" s="64">
        <f t="shared" si="6"/>
        <v>0</v>
      </c>
    </row>
    <row r="40" spans="1:22" ht="38.25" x14ac:dyDescent="0.25">
      <c r="A40" s="2" t="s">
        <v>95</v>
      </c>
      <c r="B40" s="3" t="s">
        <v>96</v>
      </c>
      <c r="C40" s="64">
        <v>0</v>
      </c>
      <c r="D40" s="92">
        <v>2000000</v>
      </c>
      <c r="E40" s="93">
        <v>0</v>
      </c>
      <c r="F40" s="93">
        <v>0</v>
      </c>
      <c r="G40" s="94">
        <v>0</v>
      </c>
      <c r="H40" s="65">
        <f t="shared" si="4"/>
        <v>2000000</v>
      </c>
      <c r="I40" s="72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5">
        <v>2000000</v>
      </c>
      <c r="U40" s="99">
        <f t="shared" si="5"/>
        <v>2000000</v>
      </c>
      <c r="V40" s="64">
        <f t="shared" si="6"/>
        <v>0</v>
      </c>
    </row>
    <row r="41" spans="1:22" ht="38.25" x14ac:dyDescent="0.25">
      <c r="A41" s="2" t="s">
        <v>61</v>
      </c>
      <c r="B41" s="3" t="s">
        <v>62</v>
      </c>
      <c r="C41" s="64">
        <v>24000000</v>
      </c>
      <c r="D41" s="92"/>
      <c r="E41" s="93">
        <v>8000000</v>
      </c>
      <c r="F41" s="93"/>
      <c r="G41" s="94"/>
      <c r="H41" s="65">
        <f t="shared" si="4"/>
        <v>16000000</v>
      </c>
      <c r="I41" s="72"/>
      <c r="J41" s="73"/>
      <c r="K41" s="73"/>
      <c r="L41" s="73"/>
      <c r="M41" s="73"/>
      <c r="N41" s="73"/>
      <c r="O41" s="73"/>
      <c r="P41" s="63">
        <v>5332000</v>
      </c>
      <c r="Q41" s="73"/>
      <c r="R41" s="73"/>
      <c r="S41" s="73"/>
      <c r="T41" s="75">
        <v>10668000</v>
      </c>
      <c r="U41" s="99">
        <f t="shared" si="5"/>
        <v>16000000</v>
      </c>
      <c r="V41" s="64">
        <f t="shared" si="6"/>
        <v>0</v>
      </c>
    </row>
    <row r="42" spans="1:22" ht="38.25" x14ac:dyDescent="0.25">
      <c r="A42" s="2" t="s">
        <v>81</v>
      </c>
      <c r="B42" s="3" t="s">
        <v>82</v>
      </c>
      <c r="C42" s="64">
        <v>0</v>
      </c>
      <c r="D42" s="92">
        <v>8000000</v>
      </c>
      <c r="E42" s="93"/>
      <c r="F42" s="93"/>
      <c r="G42" s="94"/>
      <c r="H42" s="65">
        <f t="shared" si="4"/>
        <v>8000000</v>
      </c>
      <c r="I42" s="72"/>
      <c r="J42" s="73"/>
      <c r="K42" s="73">
        <v>2000000</v>
      </c>
      <c r="L42" s="63">
        <v>2000000</v>
      </c>
      <c r="M42" s="63">
        <v>2000000</v>
      </c>
      <c r="N42" s="63">
        <v>2000000</v>
      </c>
      <c r="O42" s="73"/>
      <c r="P42" s="118"/>
      <c r="Q42" s="73"/>
      <c r="R42" s="73"/>
      <c r="S42" s="73"/>
      <c r="T42" s="75">
        <v>0</v>
      </c>
      <c r="U42" s="99">
        <f t="shared" si="5"/>
        <v>8000000</v>
      </c>
      <c r="V42" s="64">
        <f t="shared" si="6"/>
        <v>0</v>
      </c>
    </row>
    <row r="43" spans="1:22" ht="38.25" x14ac:dyDescent="0.25">
      <c r="A43" s="2" t="s">
        <v>63</v>
      </c>
      <c r="B43" s="3" t="s">
        <v>64</v>
      </c>
      <c r="C43" s="64">
        <v>7200000</v>
      </c>
      <c r="D43" s="92"/>
      <c r="E43" s="93"/>
      <c r="F43" s="93">
        <v>0</v>
      </c>
      <c r="G43" s="94">
        <v>7200000</v>
      </c>
      <c r="H43" s="65">
        <f t="shared" si="4"/>
        <v>0</v>
      </c>
      <c r="I43" s="72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5">
        <v>0</v>
      </c>
      <c r="U43" s="99">
        <f t="shared" si="5"/>
        <v>0</v>
      </c>
      <c r="V43" s="64">
        <f t="shared" si="6"/>
        <v>0</v>
      </c>
    </row>
    <row r="44" spans="1:22" ht="38.25" x14ac:dyDescent="0.25">
      <c r="A44" s="2" t="s">
        <v>65</v>
      </c>
      <c r="B44" s="3" t="s">
        <v>66</v>
      </c>
      <c r="C44" s="64">
        <v>8500000</v>
      </c>
      <c r="D44" s="92"/>
      <c r="E44" s="93">
        <v>140000</v>
      </c>
      <c r="F44" s="93"/>
      <c r="G44" s="94"/>
      <c r="H44" s="65">
        <f t="shared" si="4"/>
        <v>8360000</v>
      </c>
      <c r="I44" s="72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5">
        <v>8360000</v>
      </c>
      <c r="U44" s="99">
        <f t="shared" si="5"/>
        <v>8360000</v>
      </c>
      <c r="V44" s="64">
        <f t="shared" si="6"/>
        <v>0</v>
      </c>
    </row>
    <row r="45" spans="1:22" ht="38.25" x14ac:dyDescent="0.25">
      <c r="A45" s="2" t="s">
        <v>67</v>
      </c>
      <c r="B45" s="3" t="s">
        <v>68</v>
      </c>
      <c r="C45" s="64">
        <v>4800000</v>
      </c>
      <c r="D45" s="92">
        <v>500000</v>
      </c>
      <c r="E45" s="93"/>
      <c r="F45" s="93"/>
      <c r="G45" s="94"/>
      <c r="H45" s="65">
        <f t="shared" si="4"/>
        <v>5300000</v>
      </c>
      <c r="I45" s="72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5">
        <v>5300000</v>
      </c>
      <c r="U45" s="99">
        <f t="shared" si="5"/>
        <v>5300000</v>
      </c>
      <c r="V45" s="64">
        <f t="shared" si="6"/>
        <v>0</v>
      </c>
    </row>
    <row r="46" spans="1:22" ht="38.25" x14ac:dyDescent="0.25">
      <c r="A46" s="2" t="s">
        <v>69</v>
      </c>
      <c r="B46" s="3" t="s">
        <v>70</v>
      </c>
      <c r="C46" s="64">
        <v>6500000</v>
      </c>
      <c r="D46" s="92"/>
      <c r="E46" s="93">
        <v>1890531</v>
      </c>
      <c r="F46" s="93">
        <v>0</v>
      </c>
      <c r="G46" s="94">
        <v>3177907</v>
      </c>
      <c r="H46" s="65">
        <f t="shared" si="4"/>
        <v>1431562</v>
      </c>
      <c r="I46" s="72"/>
      <c r="J46" s="73"/>
      <c r="K46" s="73"/>
      <c r="L46" s="63">
        <v>688921</v>
      </c>
      <c r="M46" s="63">
        <v>742641</v>
      </c>
      <c r="N46" s="73"/>
      <c r="O46" s="73"/>
      <c r="P46" s="73"/>
      <c r="Q46" s="73"/>
      <c r="R46" s="73"/>
      <c r="S46" s="73"/>
      <c r="T46" s="74">
        <v>0</v>
      </c>
      <c r="U46" s="99">
        <f t="shared" si="5"/>
        <v>1431562</v>
      </c>
      <c r="V46" s="64">
        <f t="shared" si="6"/>
        <v>0</v>
      </c>
    </row>
    <row r="47" spans="1:22" ht="38.25" x14ac:dyDescent="0.25">
      <c r="A47" s="2" t="s">
        <v>71</v>
      </c>
      <c r="B47" s="3" t="s">
        <v>72</v>
      </c>
      <c r="C47" s="64">
        <v>1000</v>
      </c>
      <c r="D47" s="92">
        <v>6546317</v>
      </c>
      <c r="E47" s="93"/>
      <c r="F47" s="93"/>
      <c r="G47" s="94"/>
      <c r="H47" s="65">
        <f t="shared" si="4"/>
        <v>6547317</v>
      </c>
      <c r="I47" s="72">
        <v>46945</v>
      </c>
      <c r="J47" s="73">
        <v>1308030</v>
      </c>
      <c r="K47" s="73">
        <v>765517</v>
      </c>
      <c r="L47" s="73"/>
      <c r="M47" s="73"/>
      <c r="N47" s="73"/>
      <c r="O47" s="73"/>
      <c r="P47" s="63">
        <v>108989</v>
      </c>
      <c r="Q47" s="73">
        <v>199384</v>
      </c>
      <c r="R47" s="73">
        <v>300410</v>
      </c>
      <c r="S47" s="73">
        <v>1683638</v>
      </c>
      <c r="T47" s="74">
        <v>2134404</v>
      </c>
      <c r="U47" s="99">
        <f t="shared" si="5"/>
        <v>6547317</v>
      </c>
      <c r="V47" s="64">
        <f t="shared" si="6"/>
        <v>0</v>
      </c>
    </row>
    <row r="48" spans="1:22" ht="25.5" x14ac:dyDescent="0.25">
      <c r="A48" s="2" t="s">
        <v>73</v>
      </c>
      <c r="B48" s="3" t="s">
        <v>74</v>
      </c>
      <c r="C48" s="64">
        <v>1000</v>
      </c>
      <c r="D48" s="92"/>
      <c r="E48" s="93"/>
      <c r="F48" s="93"/>
      <c r="G48" s="94"/>
      <c r="H48" s="65">
        <f t="shared" si="4"/>
        <v>1000</v>
      </c>
      <c r="I48" s="72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4">
        <v>1000</v>
      </c>
      <c r="U48" s="99">
        <f t="shared" si="5"/>
        <v>1000</v>
      </c>
      <c r="V48" s="64">
        <f t="shared" si="6"/>
        <v>0</v>
      </c>
    </row>
    <row r="49" spans="1:22" ht="13.5" thickBot="1" x14ac:dyDescent="0.3">
      <c r="A49" s="6"/>
      <c r="B49" s="7"/>
      <c r="C49" s="76"/>
      <c r="D49" s="100"/>
      <c r="E49" s="79"/>
      <c r="F49" s="79"/>
      <c r="G49" s="101"/>
      <c r="H49" s="102"/>
      <c r="I49" s="81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4"/>
      <c r="U49" s="103"/>
      <c r="V49" s="76"/>
    </row>
    <row r="50" spans="1:22" ht="13.5" thickBot="1" x14ac:dyDescent="0.3">
      <c r="A50" s="135" t="s">
        <v>26</v>
      </c>
      <c r="B50" s="136"/>
      <c r="C50" s="85">
        <f t="shared" ref="C50:V50" si="9">SUM(C24:C49)</f>
        <v>112503000</v>
      </c>
      <c r="D50" s="104">
        <f t="shared" si="9"/>
        <v>80501812</v>
      </c>
      <c r="E50" s="105">
        <f t="shared" si="9"/>
        <v>11616564</v>
      </c>
      <c r="F50" s="105">
        <f t="shared" si="9"/>
        <v>15578412</v>
      </c>
      <c r="G50" s="106">
        <f t="shared" si="9"/>
        <v>15578412</v>
      </c>
      <c r="H50" s="85">
        <f t="shared" si="9"/>
        <v>181388248</v>
      </c>
      <c r="I50" s="86">
        <f t="shared" si="9"/>
        <v>193196</v>
      </c>
      <c r="J50" s="87">
        <f t="shared" si="9"/>
        <v>1422627</v>
      </c>
      <c r="K50" s="87">
        <f t="shared" si="9"/>
        <v>2865774</v>
      </c>
      <c r="L50" s="87">
        <f t="shared" si="9"/>
        <v>2771864</v>
      </c>
      <c r="M50" s="87">
        <f t="shared" si="9"/>
        <v>21740084</v>
      </c>
      <c r="N50" s="87">
        <f t="shared" si="9"/>
        <v>28872612.920000002</v>
      </c>
      <c r="O50" s="87">
        <f t="shared" si="9"/>
        <v>4488340</v>
      </c>
      <c r="P50" s="87">
        <f t="shared" si="9"/>
        <v>5523932</v>
      </c>
      <c r="Q50" s="87">
        <f t="shared" si="9"/>
        <v>606959</v>
      </c>
      <c r="R50" s="87">
        <f>SUM(R24:R49)</f>
        <v>383353</v>
      </c>
      <c r="S50" s="87">
        <f>SUM(S24:S49)</f>
        <v>11621940</v>
      </c>
      <c r="T50" s="107">
        <f>SUM(T24:T49)</f>
        <v>100897566.08</v>
      </c>
      <c r="U50" s="108">
        <f t="shared" si="9"/>
        <v>181388248</v>
      </c>
      <c r="V50" s="85">
        <f t="shared" si="9"/>
        <v>0</v>
      </c>
    </row>
  </sheetData>
  <mergeCells count="71">
    <mergeCell ref="A1:V1"/>
    <mergeCell ref="A2:V2"/>
    <mergeCell ref="A3:V3"/>
    <mergeCell ref="A5:V5"/>
    <mergeCell ref="A6:A7"/>
    <mergeCell ref="B6:B7"/>
    <mergeCell ref="C6:C7"/>
    <mergeCell ref="D6:G6"/>
    <mergeCell ref="H6:H7"/>
    <mergeCell ref="I6:I7"/>
    <mergeCell ref="D9:E9"/>
    <mergeCell ref="F9:G9"/>
    <mergeCell ref="P6:P7"/>
    <mergeCell ref="Q6:Q7"/>
    <mergeCell ref="R6:R7"/>
    <mergeCell ref="J6:J7"/>
    <mergeCell ref="K6:K7"/>
    <mergeCell ref="L6:L7"/>
    <mergeCell ref="M6:M7"/>
    <mergeCell ref="N6:N7"/>
    <mergeCell ref="O6:O7"/>
    <mergeCell ref="V6:V7"/>
    <mergeCell ref="D7:E7"/>
    <mergeCell ref="F7:G7"/>
    <mergeCell ref="D8:E8"/>
    <mergeCell ref="F8:G8"/>
    <mergeCell ref="S6:S7"/>
    <mergeCell ref="T6:T7"/>
    <mergeCell ref="U6:U7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A19:B19"/>
    <mergeCell ref="D19:E19"/>
    <mergeCell ref="F19:G19"/>
    <mergeCell ref="A21:V21"/>
    <mergeCell ref="A22:A23"/>
    <mergeCell ref="B22:B23"/>
    <mergeCell ref="C22:C23"/>
    <mergeCell ref="D22:G22"/>
    <mergeCell ref="H22:H23"/>
    <mergeCell ref="I22:I23"/>
    <mergeCell ref="V22:V23"/>
    <mergeCell ref="A50:B50"/>
    <mergeCell ref="P22:P23"/>
    <mergeCell ref="Q22:Q23"/>
    <mergeCell ref="R22:R23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</mergeCells>
  <pageMargins left="0.39370078740157483" right="0.39370078740157483" top="0.39370078740157483" bottom="0.59055118110236227" header="0.39370078740157483" footer="0.39370078740157483"/>
  <pageSetup paperSize="258" scale="72" orientation="landscape" horizontalDpi="0" verticalDpi="0" r:id="rId1"/>
  <headerFooter>
    <oddFooter>&amp;L&amp;F&amp;C&amp;A&amp;R&amp;P de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"/>
  <sheetViews>
    <sheetView tabSelected="1" zoomScale="80" zoomScaleNormal="80" workbookViewId="0">
      <selection activeCell="X14" sqref="X14"/>
    </sheetView>
  </sheetViews>
  <sheetFormatPr baseColWidth="10" defaultColWidth="11.42578125" defaultRowHeight="12.75" x14ac:dyDescent="0.25"/>
  <cols>
    <col min="1" max="1" width="20.42578125" style="1" customWidth="1"/>
    <col min="2" max="2" width="14.7109375" style="1" customWidth="1"/>
    <col min="3" max="3" width="14.42578125" style="109" customWidth="1"/>
    <col min="4" max="4" width="11.7109375" style="109" customWidth="1"/>
    <col min="5" max="5" width="15.28515625" style="109" customWidth="1"/>
    <col min="6" max="6" width="11" style="109" customWidth="1"/>
    <col min="7" max="7" width="12.28515625" style="109" customWidth="1"/>
    <col min="8" max="8" width="14.85546875" style="109" customWidth="1"/>
    <col min="9" max="9" width="11.85546875" style="109" customWidth="1"/>
    <col min="10" max="10" width="10.5703125" style="109" customWidth="1"/>
    <col min="11" max="11" width="10.85546875" style="109" customWidth="1"/>
    <col min="12" max="12" width="10.5703125" style="109" customWidth="1"/>
    <col min="13" max="13" width="12.42578125" style="109" customWidth="1"/>
    <col min="14" max="14" width="14.5703125" style="109" customWidth="1"/>
    <col min="15" max="15" width="10.5703125" style="109" customWidth="1"/>
    <col min="16" max="16" width="10" style="109" customWidth="1"/>
    <col min="17" max="17" width="12" style="109" customWidth="1"/>
    <col min="18" max="18" width="10.85546875" style="109" customWidth="1"/>
    <col min="19" max="19" width="12.28515625" style="109" customWidth="1"/>
    <col min="20" max="20" width="10.85546875" style="109" customWidth="1"/>
    <col min="21" max="21" width="11.5703125" style="109" customWidth="1"/>
    <col min="22" max="22" width="11.28515625" style="109" customWidth="1"/>
    <col min="23" max="23" width="11.5703125" style="1" bestFit="1" customWidth="1"/>
    <col min="24" max="16384" width="11.42578125" style="1"/>
  </cols>
  <sheetData>
    <row r="1" spans="1:22" ht="13.15" x14ac:dyDescent="0.3">
      <c r="A1" s="124" t="s">
        <v>27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</row>
    <row r="2" spans="1:22" ht="13.15" x14ac:dyDescent="0.3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22" ht="13.15" x14ac:dyDescent="0.3">
      <c r="A3" s="124" t="s">
        <v>28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</row>
    <row r="5" spans="1:22" ht="13.5" thickBot="1" x14ac:dyDescent="0.3">
      <c r="A5" s="124" t="s">
        <v>1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</row>
    <row r="6" spans="1:22" x14ac:dyDescent="0.25">
      <c r="A6" s="125" t="s">
        <v>2</v>
      </c>
      <c r="B6" s="190" t="s">
        <v>3</v>
      </c>
      <c r="C6" s="188" t="s">
        <v>4</v>
      </c>
      <c r="D6" s="162" t="s">
        <v>5</v>
      </c>
      <c r="E6" s="163"/>
      <c r="F6" s="163"/>
      <c r="G6" s="164"/>
      <c r="H6" s="188" t="s">
        <v>8</v>
      </c>
      <c r="I6" s="165" t="s">
        <v>9</v>
      </c>
      <c r="J6" s="156" t="s">
        <v>10</v>
      </c>
      <c r="K6" s="156" t="s">
        <v>11</v>
      </c>
      <c r="L6" s="156" t="s">
        <v>12</v>
      </c>
      <c r="M6" s="156" t="s">
        <v>13</v>
      </c>
      <c r="N6" s="156" t="s">
        <v>14</v>
      </c>
      <c r="O6" s="156" t="s">
        <v>15</v>
      </c>
      <c r="P6" s="156" t="s">
        <v>16</v>
      </c>
      <c r="Q6" s="156" t="s">
        <v>17</v>
      </c>
      <c r="R6" s="156" t="s">
        <v>18</v>
      </c>
      <c r="S6" s="156" t="s">
        <v>19</v>
      </c>
      <c r="T6" s="158" t="s">
        <v>20</v>
      </c>
      <c r="U6" s="188" t="s">
        <v>21</v>
      </c>
      <c r="V6" s="188" t="s">
        <v>22</v>
      </c>
    </row>
    <row r="7" spans="1:22" ht="33" customHeight="1" thickBot="1" x14ac:dyDescent="0.3">
      <c r="A7" s="126"/>
      <c r="B7" s="191"/>
      <c r="C7" s="189"/>
      <c r="D7" s="175" t="s">
        <v>6</v>
      </c>
      <c r="E7" s="176"/>
      <c r="F7" s="176" t="s">
        <v>7</v>
      </c>
      <c r="G7" s="177"/>
      <c r="H7" s="189"/>
      <c r="I7" s="186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7"/>
      <c r="U7" s="189"/>
      <c r="V7" s="189"/>
    </row>
    <row r="8" spans="1:22" ht="114.75" x14ac:dyDescent="0.25">
      <c r="A8" s="2" t="s">
        <v>29</v>
      </c>
      <c r="B8" s="3" t="s">
        <v>30</v>
      </c>
      <c r="C8" s="64">
        <v>3000000</v>
      </c>
      <c r="D8" s="178">
        <v>2000000</v>
      </c>
      <c r="E8" s="179"/>
      <c r="F8" s="179"/>
      <c r="G8" s="180"/>
      <c r="H8" s="65">
        <f>C8+D8-F8</f>
        <v>5000000</v>
      </c>
      <c r="I8" s="96"/>
      <c r="J8" s="97">
        <v>0</v>
      </c>
      <c r="K8" s="97">
        <v>0</v>
      </c>
      <c r="L8" s="97"/>
      <c r="M8" s="110">
        <v>810000</v>
      </c>
      <c r="N8" s="110">
        <v>3240000</v>
      </c>
      <c r="O8" s="97"/>
      <c r="P8" s="63">
        <v>810000</v>
      </c>
      <c r="Q8" s="97"/>
      <c r="R8" s="97"/>
      <c r="S8" s="97">
        <v>810000</v>
      </c>
      <c r="T8" s="93">
        <v>810000</v>
      </c>
      <c r="U8" s="64">
        <f>SUM(I8:T8)</f>
        <v>6480000</v>
      </c>
      <c r="V8" s="64">
        <f>H8-U8</f>
        <v>-1480000</v>
      </c>
    </row>
    <row r="9" spans="1:22" ht="52.9" x14ac:dyDescent="0.3">
      <c r="A9" s="4" t="s">
        <v>31</v>
      </c>
      <c r="B9" s="5" t="s">
        <v>32</v>
      </c>
      <c r="C9" s="70">
        <v>3300000</v>
      </c>
      <c r="D9" s="172"/>
      <c r="E9" s="173"/>
      <c r="F9" s="173"/>
      <c r="G9" s="174"/>
      <c r="H9" s="71">
        <f t="shared" ref="H9:H18" si="0">C9+D9-F9</f>
        <v>3300000</v>
      </c>
      <c r="I9" s="72">
        <v>407000</v>
      </c>
      <c r="J9" s="73">
        <v>204500</v>
      </c>
      <c r="K9" s="73">
        <v>139000</v>
      </c>
      <c r="L9" s="73">
        <v>42000</v>
      </c>
      <c r="M9" s="63">
        <v>252000</v>
      </c>
      <c r="N9" s="63">
        <v>84000</v>
      </c>
      <c r="O9" s="73">
        <v>91000</v>
      </c>
      <c r="P9" s="63">
        <v>105000</v>
      </c>
      <c r="Q9" s="63">
        <v>133000</v>
      </c>
      <c r="R9" s="73">
        <v>210000</v>
      </c>
      <c r="S9" s="73">
        <v>448000</v>
      </c>
      <c r="T9" s="74">
        <v>84000</v>
      </c>
      <c r="U9" s="70">
        <f t="shared" ref="U9:U18" si="1">SUM(I9:T9)</f>
        <v>2199500</v>
      </c>
      <c r="V9" s="70">
        <f t="shared" ref="V9:V18" si="2">H9-U9</f>
        <v>1100500</v>
      </c>
    </row>
    <row r="10" spans="1:22" ht="39.6" x14ac:dyDescent="0.3">
      <c r="A10" s="4" t="s">
        <v>33</v>
      </c>
      <c r="B10" s="5" t="s">
        <v>34</v>
      </c>
      <c r="C10" s="70">
        <v>78000000</v>
      </c>
      <c r="D10" s="172"/>
      <c r="E10" s="173"/>
      <c r="F10" s="173">
        <v>11616564</v>
      </c>
      <c r="G10" s="174"/>
      <c r="H10" s="71">
        <f t="shared" si="0"/>
        <v>66383436</v>
      </c>
      <c r="I10" s="72"/>
      <c r="J10" s="73">
        <v>62478528</v>
      </c>
      <c r="K10" s="73"/>
      <c r="L10" s="73"/>
      <c r="M10" s="73"/>
      <c r="N10" s="73"/>
      <c r="O10" s="73"/>
      <c r="P10" s="73"/>
      <c r="Q10" s="73"/>
      <c r="R10" s="73">
        <v>3904908</v>
      </c>
      <c r="S10" s="73"/>
      <c r="T10" s="75">
        <v>0</v>
      </c>
      <c r="U10" s="70">
        <f t="shared" si="1"/>
        <v>66383436</v>
      </c>
      <c r="V10" s="70">
        <f t="shared" si="2"/>
        <v>0</v>
      </c>
    </row>
    <row r="11" spans="1:22" ht="26.45" x14ac:dyDescent="0.3">
      <c r="A11" s="4" t="s">
        <v>35</v>
      </c>
      <c r="B11" s="5" t="s">
        <v>36</v>
      </c>
      <c r="C11" s="70">
        <v>28000000</v>
      </c>
      <c r="D11" s="172">
        <v>6440000</v>
      </c>
      <c r="E11" s="173"/>
      <c r="F11" s="173"/>
      <c r="G11" s="174"/>
      <c r="H11" s="71">
        <f t="shared" si="0"/>
        <v>34440000</v>
      </c>
      <c r="I11" s="72"/>
      <c r="J11" s="73"/>
      <c r="K11" s="73"/>
      <c r="L11" s="73"/>
      <c r="M11" s="73"/>
      <c r="N11" s="73"/>
      <c r="O11" s="73"/>
      <c r="P11" s="73"/>
      <c r="Q11" s="73"/>
      <c r="R11" s="73"/>
      <c r="S11" s="73">
        <v>34440000</v>
      </c>
      <c r="T11" s="75">
        <v>0</v>
      </c>
      <c r="U11" s="70">
        <f t="shared" si="1"/>
        <v>34440000</v>
      </c>
      <c r="V11" s="70">
        <f t="shared" si="2"/>
        <v>0</v>
      </c>
    </row>
    <row r="12" spans="1:22" ht="26.45" x14ac:dyDescent="0.3">
      <c r="A12" s="4" t="s">
        <v>89</v>
      </c>
      <c r="B12" s="5" t="s">
        <v>90</v>
      </c>
      <c r="C12" s="70">
        <v>0</v>
      </c>
      <c r="D12" s="172">
        <v>20000000</v>
      </c>
      <c r="E12" s="173"/>
      <c r="F12" s="173"/>
      <c r="G12" s="174"/>
      <c r="H12" s="71">
        <f t="shared" si="0"/>
        <v>20000000</v>
      </c>
      <c r="I12" s="72"/>
      <c r="J12" s="73"/>
      <c r="K12" s="73"/>
      <c r="L12" s="73"/>
      <c r="M12" s="73"/>
      <c r="N12" s="73"/>
      <c r="O12" s="73"/>
      <c r="P12" s="73"/>
      <c r="Q12" s="73"/>
      <c r="R12" s="73"/>
      <c r="S12" s="73">
        <v>20000000</v>
      </c>
      <c r="T12" s="75">
        <v>0</v>
      </c>
      <c r="U12" s="70">
        <f t="shared" si="1"/>
        <v>20000000</v>
      </c>
      <c r="V12" s="70">
        <f t="shared" si="2"/>
        <v>0</v>
      </c>
    </row>
    <row r="13" spans="1:22" ht="26.45" x14ac:dyDescent="0.3">
      <c r="A13" s="4" t="s">
        <v>37</v>
      </c>
      <c r="B13" s="5" t="s">
        <v>38</v>
      </c>
      <c r="C13" s="70">
        <v>200000</v>
      </c>
      <c r="D13" s="172"/>
      <c r="E13" s="173"/>
      <c r="F13" s="173"/>
      <c r="G13" s="174"/>
      <c r="H13" s="71">
        <f t="shared" si="0"/>
        <v>200000</v>
      </c>
      <c r="I13" s="72">
        <v>1100</v>
      </c>
      <c r="J13" s="73">
        <v>1787</v>
      </c>
      <c r="K13" s="73">
        <v>6206</v>
      </c>
      <c r="L13" s="63">
        <v>5859</v>
      </c>
      <c r="M13" s="63">
        <v>5872</v>
      </c>
      <c r="N13" s="63">
        <v>5641</v>
      </c>
      <c r="O13" s="73">
        <v>5794</v>
      </c>
      <c r="P13" s="63">
        <v>5254</v>
      </c>
      <c r="Q13" s="73">
        <v>3920</v>
      </c>
      <c r="R13" s="73">
        <v>3921</v>
      </c>
      <c r="S13" s="73">
        <v>3345</v>
      </c>
      <c r="T13" s="74">
        <v>1506</v>
      </c>
      <c r="U13" s="70">
        <f t="shared" si="1"/>
        <v>50205</v>
      </c>
      <c r="V13" s="70">
        <f t="shared" si="2"/>
        <v>149795</v>
      </c>
    </row>
    <row r="14" spans="1:22" ht="51" x14ac:dyDescent="0.25">
      <c r="A14" s="116" t="s">
        <v>83</v>
      </c>
      <c r="B14" s="116" t="s">
        <v>84</v>
      </c>
      <c r="C14" s="76">
        <v>0</v>
      </c>
      <c r="D14" s="172">
        <v>500000</v>
      </c>
      <c r="E14" s="173"/>
      <c r="F14" s="173"/>
      <c r="G14" s="174"/>
      <c r="H14" s="71">
        <f t="shared" si="0"/>
        <v>500000</v>
      </c>
      <c r="I14" s="77"/>
      <c r="J14" s="78"/>
      <c r="K14" s="78"/>
      <c r="L14" s="117"/>
      <c r="M14" s="117"/>
      <c r="N14" s="117"/>
      <c r="O14" s="78"/>
      <c r="P14" s="117"/>
      <c r="Q14" s="78">
        <v>500000</v>
      </c>
      <c r="R14" s="78"/>
      <c r="S14" s="78"/>
      <c r="T14" s="80">
        <v>0</v>
      </c>
      <c r="U14" s="70">
        <f t="shared" si="1"/>
        <v>500000</v>
      </c>
      <c r="V14" s="70">
        <f t="shared" si="2"/>
        <v>0</v>
      </c>
    </row>
    <row r="15" spans="1:22" ht="26.45" x14ac:dyDescent="0.3">
      <c r="A15" s="6" t="s">
        <v>39</v>
      </c>
      <c r="B15" s="7" t="s">
        <v>40</v>
      </c>
      <c r="C15" s="76">
        <v>1000</v>
      </c>
      <c r="D15" s="172">
        <v>1075935</v>
      </c>
      <c r="E15" s="173"/>
      <c r="F15" s="173"/>
      <c r="G15" s="174"/>
      <c r="H15" s="71">
        <f t="shared" si="0"/>
        <v>1076935</v>
      </c>
      <c r="I15" s="77">
        <v>1075935</v>
      </c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80">
        <v>0</v>
      </c>
      <c r="U15" s="70">
        <f t="shared" si="1"/>
        <v>1075935</v>
      </c>
      <c r="V15" s="70">
        <f t="shared" si="2"/>
        <v>1000</v>
      </c>
    </row>
    <row r="16" spans="1:22" ht="26.45" x14ac:dyDescent="0.3">
      <c r="A16" s="6" t="s">
        <v>41</v>
      </c>
      <c r="B16" s="7" t="s">
        <v>42</v>
      </c>
      <c r="C16" s="76">
        <v>1000</v>
      </c>
      <c r="D16" s="172">
        <v>30546317</v>
      </c>
      <c r="E16" s="173"/>
      <c r="F16" s="173"/>
      <c r="G16" s="174"/>
      <c r="H16" s="71">
        <f t="shared" si="0"/>
        <v>30547317</v>
      </c>
      <c r="I16" s="77">
        <v>30546317</v>
      </c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80">
        <v>0</v>
      </c>
      <c r="U16" s="70">
        <f t="shared" si="1"/>
        <v>30546317</v>
      </c>
      <c r="V16" s="70">
        <f t="shared" si="2"/>
        <v>1000</v>
      </c>
    </row>
    <row r="17" spans="1:22" ht="26.45" x14ac:dyDescent="0.3">
      <c r="A17" s="6" t="s">
        <v>43</v>
      </c>
      <c r="B17" s="7" t="s">
        <v>44</v>
      </c>
      <c r="C17" s="76">
        <v>1000</v>
      </c>
      <c r="D17" s="172">
        <v>19939560</v>
      </c>
      <c r="E17" s="173"/>
      <c r="F17" s="173"/>
      <c r="G17" s="174"/>
      <c r="H17" s="71">
        <f t="shared" si="0"/>
        <v>19940560</v>
      </c>
      <c r="I17" s="77">
        <v>19939560</v>
      </c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80">
        <v>0</v>
      </c>
      <c r="U17" s="70">
        <f t="shared" si="1"/>
        <v>19939560</v>
      </c>
      <c r="V17" s="70">
        <f t="shared" si="2"/>
        <v>1000</v>
      </c>
    </row>
    <row r="18" spans="1:22" ht="13.5" thickBot="1" x14ac:dyDescent="0.3">
      <c r="A18" s="6"/>
      <c r="B18" s="7"/>
      <c r="C18" s="76"/>
      <c r="D18" s="167"/>
      <c r="E18" s="168"/>
      <c r="F18" s="168"/>
      <c r="G18" s="169"/>
      <c r="H18" s="71">
        <f t="shared" si="0"/>
        <v>0</v>
      </c>
      <c r="I18" s="81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0">
        <v>0</v>
      </c>
      <c r="U18" s="70">
        <f t="shared" si="1"/>
        <v>0</v>
      </c>
      <c r="V18" s="70">
        <f t="shared" si="2"/>
        <v>0</v>
      </c>
    </row>
    <row r="19" spans="1:22" ht="13.5" thickBot="1" x14ac:dyDescent="0.3">
      <c r="A19" s="135" t="s">
        <v>26</v>
      </c>
      <c r="B19" s="136"/>
      <c r="C19" s="85">
        <f>SUM(C8:C18)</f>
        <v>112503000</v>
      </c>
      <c r="D19" s="170">
        <f>SUM(D8:E18)</f>
        <v>80501812</v>
      </c>
      <c r="E19" s="171"/>
      <c r="F19" s="170">
        <f>SUM(F8:G18)</f>
        <v>11616564</v>
      </c>
      <c r="G19" s="171"/>
      <c r="H19" s="85">
        <f t="shared" ref="H19:V19" si="3">SUM(H8:H18)</f>
        <v>181388248</v>
      </c>
      <c r="I19" s="86">
        <f t="shared" si="3"/>
        <v>51969912</v>
      </c>
      <c r="J19" s="87">
        <f t="shared" si="3"/>
        <v>62684815</v>
      </c>
      <c r="K19" s="87">
        <f t="shared" si="3"/>
        <v>145206</v>
      </c>
      <c r="L19" s="87">
        <f t="shared" si="3"/>
        <v>47859</v>
      </c>
      <c r="M19" s="87">
        <f t="shared" si="3"/>
        <v>1067872</v>
      </c>
      <c r="N19" s="111">
        <f t="shared" si="3"/>
        <v>3329641</v>
      </c>
      <c r="O19" s="87">
        <f t="shared" si="3"/>
        <v>96794</v>
      </c>
      <c r="P19" s="87">
        <f t="shared" si="3"/>
        <v>920254</v>
      </c>
      <c r="Q19" s="87">
        <f t="shared" si="3"/>
        <v>636920</v>
      </c>
      <c r="R19" s="87">
        <f t="shared" si="3"/>
        <v>4118829</v>
      </c>
      <c r="S19" s="88">
        <f t="shared" si="3"/>
        <v>55701345</v>
      </c>
      <c r="T19" s="85">
        <f t="shared" si="3"/>
        <v>895506</v>
      </c>
      <c r="U19" s="85">
        <f t="shared" si="3"/>
        <v>181614953</v>
      </c>
      <c r="V19" s="85">
        <f t="shared" si="3"/>
        <v>-226705</v>
      </c>
    </row>
    <row r="21" spans="1:22" ht="13.5" thickBot="1" x14ac:dyDescent="0.3">
      <c r="A21" s="124" t="s">
        <v>23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</row>
    <row r="22" spans="1:22" x14ac:dyDescent="0.25">
      <c r="A22" s="133" t="s">
        <v>2</v>
      </c>
      <c r="B22" s="127" t="s">
        <v>3</v>
      </c>
      <c r="C22" s="188" t="s">
        <v>4</v>
      </c>
      <c r="D22" s="162" t="s">
        <v>5</v>
      </c>
      <c r="E22" s="163"/>
      <c r="F22" s="163"/>
      <c r="G22" s="164"/>
      <c r="H22" s="188" t="s">
        <v>8</v>
      </c>
      <c r="I22" s="165" t="s">
        <v>9</v>
      </c>
      <c r="J22" s="156" t="s">
        <v>10</v>
      </c>
      <c r="K22" s="156" t="s">
        <v>11</v>
      </c>
      <c r="L22" s="156" t="s">
        <v>12</v>
      </c>
      <c r="M22" s="156" t="s">
        <v>13</v>
      </c>
      <c r="N22" s="156" t="s">
        <v>14</v>
      </c>
      <c r="O22" s="156" t="s">
        <v>15</v>
      </c>
      <c r="P22" s="156" t="s">
        <v>16</v>
      </c>
      <c r="Q22" s="156" t="s">
        <v>17</v>
      </c>
      <c r="R22" s="156" t="s">
        <v>18</v>
      </c>
      <c r="S22" s="156" t="s">
        <v>19</v>
      </c>
      <c r="T22" s="158" t="s">
        <v>20</v>
      </c>
      <c r="U22" s="192" t="s">
        <v>21</v>
      </c>
      <c r="V22" s="188" t="s">
        <v>22</v>
      </c>
    </row>
    <row r="23" spans="1:22" ht="26.25" thickBot="1" x14ac:dyDescent="0.3">
      <c r="A23" s="149"/>
      <c r="B23" s="128"/>
      <c r="C23" s="189"/>
      <c r="D23" s="89" t="s">
        <v>6</v>
      </c>
      <c r="E23" s="90" t="s">
        <v>7</v>
      </c>
      <c r="F23" s="90" t="s">
        <v>24</v>
      </c>
      <c r="G23" s="91" t="s">
        <v>25</v>
      </c>
      <c r="H23" s="189"/>
      <c r="I23" s="166"/>
      <c r="J23" s="157"/>
      <c r="K23" s="157"/>
      <c r="L23" s="157"/>
      <c r="M23" s="185"/>
      <c r="N23" s="157"/>
      <c r="O23" s="157"/>
      <c r="P23" s="157"/>
      <c r="Q23" s="157"/>
      <c r="R23" s="157"/>
      <c r="S23" s="157"/>
      <c r="T23" s="159"/>
      <c r="U23" s="193"/>
      <c r="V23" s="189"/>
    </row>
    <row r="24" spans="1:22" ht="38.25" x14ac:dyDescent="0.25">
      <c r="A24" s="2" t="s">
        <v>75</v>
      </c>
      <c r="B24" s="3" t="s">
        <v>76</v>
      </c>
      <c r="C24" s="64">
        <v>0</v>
      </c>
      <c r="D24" s="92">
        <v>19939560</v>
      </c>
      <c r="E24" s="93"/>
      <c r="F24" s="93">
        <v>0</v>
      </c>
      <c r="G24" s="94">
        <v>1025060</v>
      </c>
      <c r="H24" s="65">
        <f>C24+D24-E24+F24-G24</f>
        <v>18914500</v>
      </c>
      <c r="I24" s="66"/>
      <c r="J24" s="67"/>
      <c r="K24" s="67"/>
      <c r="L24" s="67"/>
      <c r="M24" s="110">
        <v>18914500</v>
      </c>
      <c r="N24" s="67"/>
      <c r="O24" s="67"/>
      <c r="P24" s="67"/>
      <c r="Q24" s="67"/>
      <c r="R24" s="67"/>
      <c r="S24" s="67"/>
      <c r="T24" s="69"/>
      <c r="U24" s="95">
        <f>SUM(I24:T24)</f>
        <v>18914500</v>
      </c>
      <c r="V24" s="64">
        <f>H24-U24</f>
        <v>0</v>
      </c>
    </row>
    <row r="25" spans="1:22" ht="39.6" x14ac:dyDescent="0.3">
      <c r="A25" s="2" t="s">
        <v>45</v>
      </c>
      <c r="B25" s="3" t="s">
        <v>46</v>
      </c>
      <c r="C25" s="64">
        <v>18500000</v>
      </c>
      <c r="D25" s="92"/>
      <c r="E25" s="93"/>
      <c r="F25" s="93">
        <v>2300000</v>
      </c>
      <c r="G25" s="94">
        <v>0</v>
      </c>
      <c r="H25" s="65">
        <f t="shared" ref="H25:H48" si="4">C25+D25-E25+F25-G25</f>
        <v>20800000</v>
      </c>
      <c r="I25" s="96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8">
        <v>19584350</v>
      </c>
      <c r="U25" s="99">
        <f t="shared" ref="U25:U48" si="5">SUM(I25:T25)</f>
        <v>19584350</v>
      </c>
      <c r="V25" s="64">
        <f t="shared" ref="V25:V48" si="6">H25-U25</f>
        <v>1215650</v>
      </c>
    </row>
    <row r="26" spans="1:22" ht="52.9" x14ac:dyDescent="0.3">
      <c r="A26" s="2" t="s">
        <v>77</v>
      </c>
      <c r="B26" s="3" t="s">
        <v>78</v>
      </c>
      <c r="C26" s="64">
        <v>0</v>
      </c>
      <c r="D26" s="92">
        <v>16000000</v>
      </c>
      <c r="E26" s="93"/>
      <c r="F26" s="93">
        <v>0</v>
      </c>
      <c r="G26" s="94">
        <v>1808750</v>
      </c>
      <c r="H26" s="65">
        <f t="shared" si="4"/>
        <v>14191250</v>
      </c>
      <c r="I26" s="96"/>
      <c r="J26" s="97"/>
      <c r="K26" s="97"/>
      <c r="L26" s="97"/>
      <c r="M26" s="97"/>
      <c r="N26" s="63">
        <v>13781100</v>
      </c>
      <c r="O26" s="97"/>
      <c r="P26" s="97"/>
      <c r="Q26" s="97"/>
      <c r="R26" s="97"/>
      <c r="S26" s="97"/>
      <c r="T26" s="93">
        <v>410150</v>
      </c>
      <c r="U26" s="99">
        <f t="shared" si="5"/>
        <v>14191250</v>
      </c>
      <c r="V26" s="64">
        <f t="shared" si="6"/>
        <v>0</v>
      </c>
    </row>
    <row r="27" spans="1:22" ht="52.9" x14ac:dyDescent="0.3">
      <c r="A27" s="2" t="s">
        <v>97</v>
      </c>
      <c r="B27" s="3" t="s">
        <v>98</v>
      </c>
      <c r="C27" s="64">
        <v>0</v>
      </c>
      <c r="D27" s="92">
        <v>0</v>
      </c>
      <c r="E27" s="93">
        <v>0</v>
      </c>
      <c r="F27" s="93">
        <v>482000</v>
      </c>
      <c r="G27" s="94">
        <v>0</v>
      </c>
      <c r="H27" s="65">
        <f t="shared" si="4"/>
        <v>482000</v>
      </c>
      <c r="I27" s="96"/>
      <c r="J27" s="97"/>
      <c r="K27" s="97"/>
      <c r="L27" s="97"/>
      <c r="M27" s="97"/>
      <c r="N27" s="63"/>
      <c r="O27" s="97"/>
      <c r="P27" s="97"/>
      <c r="Q27" s="97"/>
      <c r="R27" s="97"/>
      <c r="S27" s="97"/>
      <c r="T27" s="98">
        <v>475880</v>
      </c>
      <c r="U27" s="99">
        <f t="shared" si="5"/>
        <v>475880</v>
      </c>
      <c r="V27" s="64">
        <f t="shared" si="6"/>
        <v>6120</v>
      </c>
    </row>
    <row r="28" spans="1:22" ht="26.45" x14ac:dyDescent="0.3">
      <c r="A28" s="2" t="s">
        <v>47</v>
      </c>
      <c r="B28" s="3" t="s">
        <v>48</v>
      </c>
      <c r="C28" s="64">
        <v>14000000</v>
      </c>
      <c r="D28" s="92"/>
      <c r="E28" s="93">
        <v>991430</v>
      </c>
      <c r="F28" s="93">
        <v>5544602</v>
      </c>
      <c r="G28" s="94">
        <v>0</v>
      </c>
      <c r="H28" s="65">
        <f t="shared" si="4"/>
        <v>18553172</v>
      </c>
      <c r="I28" s="72"/>
      <c r="J28" s="73"/>
      <c r="K28" s="73"/>
      <c r="L28" s="73"/>
      <c r="M28" s="73"/>
      <c r="N28" s="63">
        <v>13008569.92</v>
      </c>
      <c r="O28" s="73"/>
      <c r="P28" s="73"/>
      <c r="Q28" s="73"/>
      <c r="R28" s="73"/>
      <c r="S28" s="73"/>
      <c r="T28" s="75">
        <v>5544602.0000000019</v>
      </c>
      <c r="U28" s="99">
        <f t="shared" si="5"/>
        <v>18553171.920000002</v>
      </c>
      <c r="V28" s="64">
        <f t="shared" si="6"/>
        <v>7.9999998211860657E-2</v>
      </c>
    </row>
    <row r="29" spans="1:22" ht="26.45" x14ac:dyDescent="0.3">
      <c r="A29" s="2" t="s">
        <v>91</v>
      </c>
      <c r="B29" s="3" t="s">
        <v>92</v>
      </c>
      <c r="C29" s="64">
        <v>0</v>
      </c>
      <c r="D29" s="92">
        <v>6440000</v>
      </c>
      <c r="E29" s="93">
        <v>0</v>
      </c>
      <c r="F29" s="93">
        <v>0</v>
      </c>
      <c r="G29" s="94">
        <v>0</v>
      </c>
      <c r="H29" s="65">
        <f t="shared" si="4"/>
        <v>6440000</v>
      </c>
      <c r="I29" s="72"/>
      <c r="J29" s="73"/>
      <c r="K29" s="73"/>
      <c r="L29" s="73"/>
      <c r="M29" s="73"/>
      <c r="N29" s="63"/>
      <c r="O29" s="73"/>
      <c r="P29" s="73"/>
      <c r="Q29" s="73"/>
      <c r="R29" s="73"/>
      <c r="S29" s="73"/>
      <c r="T29" s="75">
        <v>781398</v>
      </c>
      <c r="U29" s="99">
        <f t="shared" si="5"/>
        <v>781398</v>
      </c>
      <c r="V29" s="64">
        <f t="shared" si="6"/>
        <v>5658602</v>
      </c>
    </row>
    <row r="30" spans="1:22" ht="39.6" x14ac:dyDescent="0.3">
      <c r="A30" s="2" t="s">
        <v>49</v>
      </c>
      <c r="B30" s="3" t="s">
        <v>50</v>
      </c>
      <c r="C30" s="64">
        <v>1000</v>
      </c>
      <c r="D30" s="92"/>
      <c r="E30" s="93"/>
      <c r="F30" s="93"/>
      <c r="G30" s="94"/>
      <c r="H30" s="65">
        <f t="shared" si="4"/>
        <v>1000</v>
      </c>
      <c r="I30" s="72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5"/>
      <c r="U30" s="99">
        <f t="shared" si="5"/>
        <v>0</v>
      </c>
      <c r="V30" s="64">
        <f t="shared" si="6"/>
        <v>1000</v>
      </c>
    </row>
    <row r="31" spans="1:22" ht="25.5" x14ac:dyDescent="0.25">
      <c r="A31" s="2" t="s">
        <v>51</v>
      </c>
      <c r="B31" s="3" t="s">
        <v>52</v>
      </c>
      <c r="C31" s="64">
        <v>20000000</v>
      </c>
      <c r="D31" s="92"/>
      <c r="E31" s="93"/>
      <c r="F31" s="93">
        <v>0</v>
      </c>
      <c r="G31" s="94">
        <v>2366695</v>
      </c>
      <c r="H31" s="65">
        <f t="shared" si="4"/>
        <v>17633305</v>
      </c>
      <c r="I31" s="72"/>
      <c r="J31" s="73"/>
      <c r="K31" s="73"/>
      <c r="L31" s="73"/>
      <c r="M31" s="73"/>
      <c r="N31" s="73"/>
      <c r="O31" s="73"/>
      <c r="P31" s="73"/>
      <c r="Q31" s="73"/>
      <c r="R31" s="73"/>
      <c r="S31" s="73">
        <v>7373125</v>
      </c>
      <c r="T31" s="75">
        <v>10260000</v>
      </c>
      <c r="U31" s="99">
        <f t="shared" si="5"/>
        <v>17633125</v>
      </c>
      <c r="V31" s="64">
        <f t="shared" si="6"/>
        <v>180</v>
      </c>
    </row>
    <row r="32" spans="1:22" ht="25.5" x14ac:dyDescent="0.25">
      <c r="A32" s="2" t="s">
        <v>53</v>
      </c>
      <c r="B32" s="3" t="s">
        <v>54</v>
      </c>
      <c r="C32" s="64">
        <v>2300000</v>
      </c>
      <c r="D32" s="92"/>
      <c r="E32" s="93"/>
      <c r="F32" s="93">
        <v>4900000</v>
      </c>
      <c r="G32" s="94">
        <v>0</v>
      </c>
      <c r="H32" s="65">
        <f t="shared" si="4"/>
        <v>7200000</v>
      </c>
      <c r="I32" s="72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5">
        <v>7200000</v>
      </c>
      <c r="U32" s="99">
        <f t="shared" si="5"/>
        <v>7200000</v>
      </c>
      <c r="V32" s="64">
        <f t="shared" si="6"/>
        <v>0</v>
      </c>
    </row>
    <row r="33" spans="1:22" ht="38.25" x14ac:dyDescent="0.25">
      <c r="A33" s="2" t="s">
        <v>85</v>
      </c>
      <c r="B33" s="3" t="s">
        <v>86</v>
      </c>
      <c r="C33" s="64">
        <v>0</v>
      </c>
      <c r="D33" s="92">
        <v>0</v>
      </c>
      <c r="E33" s="93">
        <v>0</v>
      </c>
      <c r="F33" s="93">
        <v>1808750</v>
      </c>
      <c r="G33" s="94">
        <v>0</v>
      </c>
      <c r="H33" s="65">
        <f t="shared" si="4"/>
        <v>1808750</v>
      </c>
      <c r="I33" s="72"/>
      <c r="J33" s="73"/>
      <c r="K33" s="73"/>
      <c r="L33" s="73"/>
      <c r="M33" s="73"/>
      <c r="N33" s="73"/>
      <c r="O33" s="73"/>
      <c r="P33" s="73"/>
      <c r="Q33" s="73"/>
      <c r="R33" s="73"/>
      <c r="S33" s="73">
        <v>1808750</v>
      </c>
      <c r="T33" s="74"/>
      <c r="U33" s="99">
        <f t="shared" si="5"/>
        <v>1808750</v>
      </c>
      <c r="V33" s="64">
        <f t="shared" si="6"/>
        <v>0</v>
      </c>
    </row>
    <row r="34" spans="1:22" ht="38.25" x14ac:dyDescent="0.25">
      <c r="A34" s="2" t="s">
        <v>87</v>
      </c>
      <c r="B34" s="3" t="s">
        <v>88</v>
      </c>
      <c r="C34" s="64">
        <v>0</v>
      </c>
      <c r="D34" s="92">
        <v>0</v>
      </c>
      <c r="E34" s="93">
        <v>0</v>
      </c>
      <c r="F34" s="93">
        <v>543060</v>
      </c>
      <c r="G34" s="94">
        <v>0</v>
      </c>
      <c r="H34" s="65">
        <f t="shared" si="4"/>
        <v>543060</v>
      </c>
      <c r="I34" s="72"/>
      <c r="J34" s="73"/>
      <c r="K34" s="73"/>
      <c r="L34" s="73"/>
      <c r="M34" s="73"/>
      <c r="N34" s="73"/>
      <c r="O34" s="73"/>
      <c r="P34" s="73"/>
      <c r="Q34" s="73"/>
      <c r="R34" s="73"/>
      <c r="S34" s="73">
        <v>543060</v>
      </c>
      <c r="T34" s="74"/>
      <c r="U34" s="99">
        <f t="shared" si="5"/>
        <v>543060</v>
      </c>
      <c r="V34" s="64">
        <f t="shared" si="6"/>
        <v>0</v>
      </c>
    </row>
    <row r="35" spans="1:22" ht="25.5" x14ac:dyDescent="0.25">
      <c r="A35" s="2" t="s">
        <v>55</v>
      </c>
      <c r="B35" s="3" t="s">
        <v>56</v>
      </c>
      <c r="C35" s="64">
        <v>200000</v>
      </c>
      <c r="D35" s="92"/>
      <c r="E35" s="93"/>
      <c r="F35" s="93"/>
      <c r="G35" s="94"/>
      <c r="H35" s="65">
        <f t="shared" si="4"/>
        <v>200000</v>
      </c>
      <c r="I35" s="72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5"/>
      <c r="U35" s="99">
        <f t="shared" si="5"/>
        <v>0</v>
      </c>
      <c r="V35" s="64">
        <f t="shared" si="6"/>
        <v>200000</v>
      </c>
    </row>
    <row r="36" spans="1:22" ht="25.5" x14ac:dyDescent="0.25">
      <c r="A36" s="2" t="s">
        <v>93</v>
      </c>
      <c r="B36" s="3" t="s">
        <v>94</v>
      </c>
      <c r="C36" s="64">
        <v>0</v>
      </c>
      <c r="D36" s="92">
        <v>20000000</v>
      </c>
      <c r="E36" s="93">
        <v>0</v>
      </c>
      <c r="F36" s="93">
        <v>0</v>
      </c>
      <c r="G36" s="94">
        <v>0</v>
      </c>
      <c r="H36" s="65">
        <f t="shared" si="4"/>
        <v>20000000</v>
      </c>
      <c r="I36" s="72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5">
        <v>20000000</v>
      </c>
      <c r="U36" s="99">
        <f t="shared" si="5"/>
        <v>20000000</v>
      </c>
      <c r="V36" s="64">
        <f t="shared" si="6"/>
        <v>0</v>
      </c>
    </row>
    <row r="37" spans="1:22" ht="38.25" x14ac:dyDescent="0.25">
      <c r="A37" s="2" t="s">
        <v>57</v>
      </c>
      <c r="B37" s="3" t="s">
        <v>58</v>
      </c>
      <c r="C37" s="64">
        <v>1500000</v>
      </c>
      <c r="D37" s="92"/>
      <c r="E37" s="93"/>
      <c r="F37" s="93"/>
      <c r="G37" s="94"/>
      <c r="H37" s="65">
        <f t="shared" si="4"/>
        <v>1500000</v>
      </c>
      <c r="I37" s="72">
        <v>146251</v>
      </c>
      <c r="J37" s="73">
        <v>114597</v>
      </c>
      <c r="K37" s="73">
        <v>100257</v>
      </c>
      <c r="L37" s="73"/>
      <c r="M37" s="63">
        <v>82943</v>
      </c>
      <c r="N37" s="63">
        <v>82943</v>
      </c>
      <c r="O37" s="73">
        <v>82943</v>
      </c>
      <c r="P37" s="63">
        <v>82943</v>
      </c>
      <c r="Q37" s="73">
        <v>407575</v>
      </c>
      <c r="R37" s="73">
        <v>82943</v>
      </c>
      <c r="S37" s="73">
        <v>213367</v>
      </c>
      <c r="T37" s="74">
        <v>13685</v>
      </c>
      <c r="U37" s="99">
        <f t="shared" si="5"/>
        <v>1410447</v>
      </c>
      <c r="V37" s="64">
        <f t="shared" si="6"/>
        <v>89553</v>
      </c>
    </row>
    <row r="38" spans="1:22" ht="38.25" x14ac:dyDescent="0.25">
      <c r="A38" s="2" t="s">
        <v>79</v>
      </c>
      <c r="B38" s="3" t="s">
        <v>80</v>
      </c>
      <c r="C38" s="64">
        <v>0</v>
      </c>
      <c r="D38" s="92">
        <v>1075935</v>
      </c>
      <c r="E38" s="93"/>
      <c r="F38" s="93"/>
      <c r="G38" s="94"/>
      <c r="H38" s="65">
        <f t="shared" si="4"/>
        <v>1075935</v>
      </c>
      <c r="I38" s="72"/>
      <c r="J38" s="73"/>
      <c r="K38" s="73"/>
      <c r="L38" s="63">
        <v>82943</v>
      </c>
      <c r="M38" s="73"/>
      <c r="N38" s="73"/>
      <c r="O38" s="73"/>
      <c r="P38" s="73"/>
      <c r="Q38" s="73"/>
      <c r="R38" s="73"/>
      <c r="S38" s="73"/>
      <c r="T38" s="74">
        <v>91273</v>
      </c>
      <c r="U38" s="99">
        <f t="shared" si="5"/>
        <v>174216</v>
      </c>
      <c r="V38" s="64">
        <f t="shared" si="6"/>
        <v>901719</v>
      </c>
    </row>
    <row r="39" spans="1:22" ht="38.25" x14ac:dyDescent="0.25">
      <c r="A39" s="2" t="s">
        <v>59</v>
      </c>
      <c r="B39" s="3" t="s">
        <v>60</v>
      </c>
      <c r="C39" s="64">
        <v>5000000</v>
      </c>
      <c r="D39" s="92"/>
      <c r="E39" s="93">
        <v>594603</v>
      </c>
      <c r="F39" s="93"/>
      <c r="G39" s="94"/>
      <c r="H39" s="65">
        <f t="shared" si="4"/>
        <v>4405397</v>
      </c>
      <c r="I39" s="72"/>
      <c r="J39" s="73"/>
      <c r="K39" s="73"/>
      <c r="L39" s="73"/>
      <c r="M39" s="73"/>
      <c r="N39" s="73"/>
      <c r="O39" s="73">
        <v>4405397</v>
      </c>
      <c r="P39" s="73"/>
      <c r="Q39" s="73"/>
      <c r="R39" s="73"/>
      <c r="S39" s="73"/>
      <c r="T39" s="74"/>
      <c r="U39" s="99">
        <f t="shared" si="5"/>
        <v>4405397</v>
      </c>
      <c r="V39" s="64">
        <f t="shared" si="6"/>
        <v>0</v>
      </c>
    </row>
    <row r="40" spans="1:22" ht="38.25" x14ac:dyDescent="0.25">
      <c r="A40" s="2" t="s">
        <v>95</v>
      </c>
      <c r="B40" s="3" t="s">
        <v>96</v>
      </c>
      <c r="C40" s="64">
        <v>0</v>
      </c>
      <c r="D40" s="92">
        <v>2000000</v>
      </c>
      <c r="E40" s="93">
        <v>0</v>
      </c>
      <c r="F40" s="93">
        <v>0</v>
      </c>
      <c r="G40" s="94">
        <v>0</v>
      </c>
      <c r="H40" s="65">
        <f t="shared" si="4"/>
        <v>2000000</v>
      </c>
      <c r="I40" s="72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5"/>
      <c r="U40" s="99">
        <f t="shared" si="5"/>
        <v>0</v>
      </c>
      <c r="V40" s="64">
        <f t="shared" si="6"/>
        <v>2000000</v>
      </c>
    </row>
    <row r="41" spans="1:22" ht="38.25" x14ac:dyDescent="0.25">
      <c r="A41" s="2" t="s">
        <v>61</v>
      </c>
      <c r="B41" s="3" t="s">
        <v>62</v>
      </c>
      <c r="C41" s="64">
        <v>24000000</v>
      </c>
      <c r="D41" s="92"/>
      <c r="E41" s="93">
        <v>8000000</v>
      </c>
      <c r="F41" s="93"/>
      <c r="G41" s="94"/>
      <c r="H41" s="65">
        <f t="shared" si="4"/>
        <v>16000000</v>
      </c>
      <c r="I41" s="72"/>
      <c r="J41" s="73"/>
      <c r="K41" s="73"/>
      <c r="L41" s="73"/>
      <c r="M41" s="73"/>
      <c r="N41" s="73"/>
      <c r="O41" s="73"/>
      <c r="P41" s="63">
        <v>5332000</v>
      </c>
      <c r="Q41" s="73"/>
      <c r="R41" s="73"/>
      <c r="S41" s="73"/>
      <c r="T41" s="75">
        <v>10668000</v>
      </c>
      <c r="U41" s="99">
        <f t="shared" si="5"/>
        <v>16000000</v>
      </c>
      <c r="V41" s="64">
        <f t="shared" si="6"/>
        <v>0</v>
      </c>
    </row>
    <row r="42" spans="1:22" ht="38.25" x14ac:dyDescent="0.25">
      <c r="A42" s="2" t="s">
        <v>81</v>
      </c>
      <c r="B42" s="3" t="s">
        <v>82</v>
      </c>
      <c r="C42" s="64">
        <v>0</v>
      </c>
      <c r="D42" s="92">
        <v>8000000</v>
      </c>
      <c r="E42" s="93"/>
      <c r="F42" s="93"/>
      <c r="G42" s="94"/>
      <c r="H42" s="65">
        <f t="shared" si="4"/>
        <v>8000000</v>
      </c>
      <c r="I42" s="72"/>
      <c r="J42" s="73"/>
      <c r="K42" s="73">
        <v>2000000</v>
      </c>
      <c r="L42" s="63">
        <v>2000000</v>
      </c>
      <c r="M42" s="63">
        <v>2000000</v>
      </c>
      <c r="N42" s="63">
        <v>2000000</v>
      </c>
      <c r="O42" s="73"/>
      <c r="P42" s="118"/>
      <c r="Q42" s="73"/>
      <c r="R42" s="73"/>
      <c r="S42" s="73"/>
      <c r="T42" s="75"/>
      <c r="U42" s="99">
        <f t="shared" si="5"/>
        <v>8000000</v>
      </c>
      <c r="V42" s="64">
        <f t="shared" si="6"/>
        <v>0</v>
      </c>
    </row>
    <row r="43" spans="1:22" ht="38.25" x14ac:dyDescent="0.25">
      <c r="A43" s="2" t="s">
        <v>63</v>
      </c>
      <c r="B43" s="3" t="s">
        <v>64</v>
      </c>
      <c r="C43" s="64">
        <v>7200000</v>
      </c>
      <c r="D43" s="92"/>
      <c r="E43" s="93"/>
      <c r="F43" s="93">
        <v>0</v>
      </c>
      <c r="G43" s="94">
        <v>7200000</v>
      </c>
      <c r="H43" s="65">
        <f t="shared" si="4"/>
        <v>0</v>
      </c>
      <c r="I43" s="72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5"/>
      <c r="U43" s="99">
        <f t="shared" si="5"/>
        <v>0</v>
      </c>
      <c r="V43" s="64">
        <f t="shared" si="6"/>
        <v>0</v>
      </c>
    </row>
    <row r="44" spans="1:22" ht="38.25" x14ac:dyDescent="0.25">
      <c r="A44" s="2" t="s">
        <v>65</v>
      </c>
      <c r="B44" s="3" t="s">
        <v>66</v>
      </c>
      <c r="C44" s="64">
        <v>8500000</v>
      </c>
      <c r="D44" s="92"/>
      <c r="E44" s="93">
        <v>140000</v>
      </c>
      <c r="F44" s="93"/>
      <c r="G44" s="94"/>
      <c r="H44" s="65">
        <f t="shared" si="4"/>
        <v>8360000</v>
      </c>
      <c r="I44" s="72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5">
        <v>8360000</v>
      </c>
      <c r="U44" s="99">
        <f t="shared" si="5"/>
        <v>8360000</v>
      </c>
      <c r="V44" s="64">
        <f t="shared" si="6"/>
        <v>0</v>
      </c>
    </row>
    <row r="45" spans="1:22" ht="38.25" x14ac:dyDescent="0.25">
      <c r="A45" s="2" t="s">
        <v>67</v>
      </c>
      <c r="B45" s="3" t="s">
        <v>68</v>
      </c>
      <c r="C45" s="64">
        <v>4800000</v>
      </c>
      <c r="D45" s="92">
        <v>500000</v>
      </c>
      <c r="E45" s="93"/>
      <c r="F45" s="93"/>
      <c r="G45" s="94"/>
      <c r="H45" s="65">
        <f t="shared" si="4"/>
        <v>5300000</v>
      </c>
      <c r="I45" s="72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5">
        <v>5255000</v>
      </c>
      <c r="U45" s="99">
        <f t="shared" si="5"/>
        <v>5255000</v>
      </c>
      <c r="V45" s="64">
        <f t="shared" si="6"/>
        <v>45000</v>
      </c>
    </row>
    <row r="46" spans="1:22" ht="38.25" x14ac:dyDescent="0.25">
      <c r="A46" s="2" t="s">
        <v>69</v>
      </c>
      <c r="B46" s="3" t="s">
        <v>70</v>
      </c>
      <c r="C46" s="64">
        <v>6500000</v>
      </c>
      <c r="D46" s="92"/>
      <c r="E46" s="93">
        <v>1890531</v>
      </c>
      <c r="F46" s="93">
        <v>0</v>
      </c>
      <c r="G46" s="94">
        <v>3177907</v>
      </c>
      <c r="H46" s="65">
        <f t="shared" si="4"/>
        <v>1431562</v>
      </c>
      <c r="I46" s="72"/>
      <c r="J46" s="73"/>
      <c r="K46" s="73"/>
      <c r="L46" s="63">
        <v>688921</v>
      </c>
      <c r="M46" s="63">
        <v>742641</v>
      </c>
      <c r="N46" s="73"/>
      <c r="O46" s="73"/>
      <c r="P46" s="73"/>
      <c r="Q46" s="73"/>
      <c r="R46" s="73"/>
      <c r="S46" s="73"/>
      <c r="T46" s="74"/>
      <c r="U46" s="99">
        <f t="shared" si="5"/>
        <v>1431562</v>
      </c>
      <c r="V46" s="64">
        <f t="shared" si="6"/>
        <v>0</v>
      </c>
    </row>
    <row r="47" spans="1:22" ht="38.25" x14ac:dyDescent="0.25">
      <c r="A47" s="2" t="s">
        <v>71</v>
      </c>
      <c r="B47" s="3" t="s">
        <v>72</v>
      </c>
      <c r="C47" s="64">
        <v>1000</v>
      </c>
      <c r="D47" s="92">
        <v>6546317</v>
      </c>
      <c r="E47" s="93"/>
      <c r="F47" s="93"/>
      <c r="G47" s="94"/>
      <c r="H47" s="65">
        <f t="shared" si="4"/>
        <v>6547317</v>
      </c>
      <c r="I47" s="72">
        <v>46945</v>
      </c>
      <c r="J47" s="73">
        <v>1308030</v>
      </c>
      <c r="K47" s="73">
        <v>765517</v>
      </c>
      <c r="L47" s="73"/>
      <c r="M47" s="73"/>
      <c r="N47" s="73"/>
      <c r="O47" s="73"/>
      <c r="P47" s="63">
        <v>108989</v>
      </c>
      <c r="Q47" s="73">
        <v>199384</v>
      </c>
      <c r="R47" s="73">
        <v>300410</v>
      </c>
      <c r="S47" s="73">
        <v>1683638</v>
      </c>
      <c r="T47" s="74">
        <v>237725</v>
      </c>
      <c r="U47" s="99">
        <f t="shared" si="5"/>
        <v>4650638</v>
      </c>
      <c r="V47" s="64">
        <f t="shared" si="6"/>
        <v>1896679</v>
      </c>
    </row>
    <row r="48" spans="1:22" ht="25.5" x14ac:dyDescent="0.25">
      <c r="A48" s="2" t="s">
        <v>73</v>
      </c>
      <c r="B48" s="3" t="s">
        <v>74</v>
      </c>
      <c r="C48" s="64">
        <v>1000</v>
      </c>
      <c r="D48" s="92"/>
      <c r="E48" s="93"/>
      <c r="F48" s="93"/>
      <c r="G48" s="94"/>
      <c r="H48" s="65">
        <f t="shared" si="4"/>
        <v>1000</v>
      </c>
      <c r="I48" s="72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4"/>
      <c r="U48" s="99">
        <f t="shared" si="5"/>
        <v>0</v>
      </c>
      <c r="V48" s="64">
        <f t="shared" si="6"/>
        <v>1000</v>
      </c>
    </row>
    <row r="49" spans="1:22" ht="13.5" thickBot="1" x14ac:dyDescent="0.3">
      <c r="A49" s="6"/>
      <c r="B49" s="7"/>
      <c r="C49" s="76"/>
      <c r="D49" s="100"/>
      <c r="E49" s="79"/>
      <c r="F49" s="79"/>
      <c r="G49" s="101"/>
      <c r="H49" s="102"/>
      <c r="I49" s="81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4"/>
      <c r="U49" s="103"/>
      <c r="V49" s="76"/>
    </row>
    <row r="50" spans="1:22" ht="13.5" thickBot="1" x14ac:dyDescent="0.3">
      <c r="A50" s="135" t="s">
        <v>26</v>
      </c>
      <c r="B50" s="136"/>
      <c r="C50" s="85">
        <f t="shared" ref="C50:V50" si="7">SUM(C24:C49)</f>
        <v>112503000</v>
      </c>
      <c r="D50" s="104">
        <f t="shared" si="7"/>
        <v>80501812</v>
      </c>
      <c r="E50" s="105">
        <f t="shared" si="7"/>
        <v>11616564</v>
      </c>
      <c r="F50" s="105">
        <f t="shared" si="7"/>
        <v>15578412</v>
      </c>
      <c r="G50" s="106">
        <f t="shared" si="7"/>
        <v>15578412</v>
      </c>
      <c r="H50" s="85">
        <f t="shared" si="7"/>
        <v>181388248</v>
      </c>
      <c r="I50" s="86">
        <f t="shared" si="7"/>
        <v>193196</v>
      </c>
      <c r="J50" s="87">
        <f t="shared" si="7"/>
        <v>1422627</v>
      </c>
      <c r="K50" s="87">
        <f t="shared" si="7"/>
        <v>2865774</v>
      </c>
      <c r="L50" s="87">
        <f t="shared" si="7"/>
        <v>2771864</v>
      </c>
      <c r="M50" s="87">
        <f t="shared" si="7"/>
        <v>21740084</v>
      </c>
      <c r="N50" s="87">
        <f t="shared" si="7"/>
        <v>28872612.920000002</v>
      </c>
      <c r="O50" s="87">
        <f t="shared" si="7"/>
        <v>4488340</v>
      </c>
      <c r="P50" s="87">
        <f t="shared" si="7"/>
        <v>5523932</v>
      </c>
      <c r="Q50" s="87">
        <f t="shared" si="7"/>
        <v>606959</v>
      </c>
      <c r="R50" s="87">
        <f>SUM(R24:R49)</f>
        <v>383353</v>
      </c>
      <c r="S50" s="87">
        <f>SUM(S24:S49)</f>
        <v>11621940</v>
      </c>
      <c r="T50" s="107">
        <f>SUM(T24:T49)</f>
        <v>88882063</v>
      </c>
      <c r="U50" s="108">
        <f t="shared" si="7"/>
        <v>169372744.92000002</v>
      </c>
      <c r="V50" s="85">
        <f t="shared" si="7"/>
        <v>12015503.079999998</v>
      </c>
    </row>
  </sheetData>
  <mergeCells count="71">
    <mergeCell ref="A1:V1"/>
    <mergeCell ref="A2:V2"/>
    <mergeCell ref="A3:V3"/>
    <mergeCell ref="A5:V5"/>
    <mergeCell ref="A6:A7"/>
    <mergeCell ref="B6:B7"/>
    <mergeCell ref="C6:C7"/>
    <mergeCell ref="D6:G6"/>
    <mergeCell ref="H6:H7"/>
    <mergeCell ref="I6:I7"/>
    <mergeCell ref="D9:E9"/>
    <mergeCell ref="F9:G9"/>
    <mergeCell ref="P6:P7"/>
    <mergeCell ref="Q6:Q7"/>
    <mergeCell ref="R6:R7"/>
    <mergeCell ref="J6:J7"/>
    <mergeCell ref="K6:K7"/>
    <mergeCell ref="L6:L7"/>
    <mergeCell ref="M6:M7"/>
    <mergeCell ref="N6:N7"/>
    <mergeCell ref="O6:O7"/>
    <mergeCell ref="V6:V7"/>
    <mergeCell ref="D7:E7"/>
    <mergeCell ref="F7:G7"/>
    <mergeCell ref="D8:E8"/>
    <mergeCell ref="F8:G8"/>
    <mergeCell ref="S6:S7"/>
    <mergeCell ref="T6:T7"/>
    <mergeCell ref="U6:U7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A19:B19"/>
    <mergeCell ref="D19:E19"/>
    <mergeCell ref="F19:G19"/>
    <mergeCell ref="A21:V21"/>
    <mergeCell ref="A22:A23"/>
    <mergeCell ref="B22:B23"/>
    <mergeCell ref="C22:C23"/>
    <mergeCell ref="D22:G22"/>
    <mergeCell ref="H22:H23"/>
    <mergeCell ref="I22:I23"/>
    <mergeCell ref="V22:V23"/>
    <mergeCell ref="A50:B50"/>
    <mergeCell ref="P22:P23"/>
    <mergeCell ref="Q22:Q23"/>
    <mergeCell ref="R22:R23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</mergeCells>
  <pageMargins left="0.39370078740157483" right="0.39370078740157483" top="0.39370078740157483" bottom="0.59055118110236227" header="0.39370078740157483" footer="0.39370078740157483"/>
  <pageSetup paperSize="258" scale="72" orientation="landscape" horizontalDpi="0" verticalDpi="0" r:id="rId1"/>
  <headerFooter>
    <oddFooter>&amp;L&amp;F&amp;C&amp;A&amp;R&amp;P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zoomScaleNormal="100" workbookViewId="0">
      <selection activeCell="J12" sqref="J12"/>
    </sheetView>
  </sheetViews>
  <sheetFormatPr baseColWidth="10" defaultColWidth="11.42578125" defaultRowHeight="12.75" x14ac:dyDescent="0.25"/>
  <cols>
    <col min="1" max="1" width="5.7109375" style="1" customWidth="1"/>
    <col min="2" max="2" width="12.7109375" style="1" customWidth="1"/>
    <col min="3" max="3" width="11.7109375" style="1" customWidth="1"/>
    <col min="4" max="4" width="10.7109375" style="1" customWidth="1"/>
    <col min="5" max="7" width="3.7109375" style="1" customWidth="1"/>
    <col min="8" max="8" width="11.7109375" style="1" customWidth="1"/>
    <col min="9" max="19" width="10.7109375" style="1" customWidth="1"/>
    <col min="20" max="20" width="9.7109375" style="1" customWidth="1"/>
    <col min="21" max="21" width="11.7109375" style="1" customWidth="1"/>
    <col min="22" max="22" width="3.7109375" style="1" customWidth="1"/>
    <col min="23" max="23" width="11.5703125" style="1" bestFit="1" customWidth="1"/>
    <col min="24" max="16384" width="11.42578125" style="1"/>
  </cols>
  <sheetData>
    <row r="1" spans="1:22" ht="13.15" x14ac:dyDescent="0.3">
      <c r="A1" s="124" t="s">
        <v>27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</row>
    <row r="2" spans="1:22" ht="13.15" x14ac:dyDescent="0.3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22" ht="13.15" x14ac:dyDescent="0.3">
      <c r="A3" s="124" t="s">
        <v>28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</row>
    <row r="5" spans="1:22" ht="13.9" thickBot="1" x14ac:dyDescent="0.35">
      <c r="A5" s="124" t="s">
        <v>1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</row>
    <row r="6" spans="1:22" x14ac:dyDescent="0.25">
      <c r="A6" s="125" t="s">
        <v>2</v>
      </c>
      <c r="B6" s="127" t="s">
        <v>3</v>
      </c>
      <c r="C6" s="120" t="s">
        <v>4</v>
      </c>
      <c r="D6" s="125" t="s">
        <v>5</v>
      </c>
      <c r="E6" s="129"/>
      <c r="F6" s="129"/>
      <c r="G6" s="130"/>
      <c r="H6" s="120" t="s">
        <v>8</v>
      </c>
      <c r="I6" s="133" t="s">
        <v>9</v>
      </c>
      <c r="J6" s="122" t="s">
        <v>10</v>
      </c>
      <c r="K6" s="122" t="s">
        <v>11</v>
      </c>
      <c r="L6" s="122" t="s">
        <v>12</v>
      </c>
      <c r="M6" s="122" t="s">
        <v>13</v>
      </c>
      <c r="N6" s="122" t="s">
        <v>14</v>
      </c>
      <c r="O6" s="122" t="s">
        <v>15</v>
      </c>
      <c r="P6" s="122" t="s">
        <v>16</v>
      </c>
      <c r="Q6" s="122" t="s">
        <v>17</v>
      </c>
      <c r="R6" s="122" t="s">
        <v>18</v>
      </c>
      <c r="S6" s="122" t="s">
        <v>19</v>
      </c>
      <c r="T6" s="150" t="s">
        <v>20</v>
      </c>
      <c r="U6" s="120" t="s">
        <v>21</v>
      </c>
      <c r="V6" s="120" t="s">
        <v>22</v>
      </c>
    </row>
    <row r="7" spans="1:22" ht="13.5" thickBot="1" x14ac:dyDescent="0.3">
      <c r="A7" s="126"/>
      <c r="B7" s="128"/>
      <c r="C7" s="121"/>
      <c r="D7" s="126" t="s">
        <v>6</v>
      </c>
      <c r="E7" s="131"/>
      <c r="F7" s="131" t="s">
        <v>7</v>
      </c>
      <c r="G7" s="132"/>
      <c r="H7" s="121"/>
      <c r="I7" s="134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51"/>
      <c r="U7" s="121"/>
      <c r="V7" s="121"/>
    </row>
    <row r="8" spans="1:22" ht="118.9" x14ac:dyDescent="0.3">
      <c r="A8" s="2" t="s">
        <v>29</v>
      </c>
      <c r="B8" s="3" t="s">
        <v>30</v>
      </c>
      <c r="C8" s="11">
        <v>3000000</v>
      </c>
      <c r="D8" s="147"/>
      <c r="E8" s="142"/>
      <c r="F8" s="142"/>
      <c r="G8" s="143"/>
      <c r="H8" s="27">
        <f>C8+D8-F8</f>
        <v>3000000</v>
      </c>
      <c r="I8" s="47"/>
      <c r="J8" s="29">
        <f>3000000/10</f>
        <v>300000</v>
      </c>
      <c r="K8" s="29">
        <f t="shared" ref="K8:S8" si="0">3000000/10</f>
        <v>300000</v>
      </c>
      <c r="L8" s="29">
        <f t="shared" si="0"/>
        <v>300000</v>
      </c>
      <c r="M8" s="29">
        <f t="shared" si="0"/>
        <v>300000</v>
      </c>
      <c r="N8" s="29">
        <f t="shared" si="0"/>
        <v>300000</v>
      </c>
      <c r="O8" s="29">
        <f t="shared" si="0"/>
        <v>300000</v>
      </c>
      <c r="P8" s="29">
        <f t="shared" si="0"/>
        <v>300000</v>
      </c>
      <c r="Q8" s="29">
        <f t="shared" si="0"/>
        <v>300000</v>
      </c>
      <c r="R8" s="29">
        <f t="shared" si="0"/>
        <v>300000</v>
      </c>
      <c r="S8" s="29">
        <f t="shared" si="0"/>
        <v>300000</v>
      </c>
      <c r="T8" s="41"/>
      <c r="U8" s="11">
        <f>SUM(I8:T8)</f>
        <v>3000000</v>
      </c>
      <c r="V8" s="11">
        <f>H8-U8</f>
        <v>0</v>
      </c>
    </row>
    <row r="9" spans="1:22" ht="52.9" x14ac:dyDescent="0.3">
      <c r="A9" s="4" t="s">
        <v>31</v>
      </c>
      <c r="B9" s="5" t="s">
        <v>32</v>
      </c>
      <c r="C9" s="15">
        <v>3300000</v>
      </c>
      <c r="D9" s="148"/>
      <c r="E9" s="144"/>
      <c r="F9" s="144"/>
      <c r="G9" s="145"/>
      <c r="H9" s="32">
        <f t="shared" ref="H9:H16" si="1">C9+D9-F9</f>
        <v>3300000</v>
      </c>
      <c r="I9" s="48">
        <v>407000</v>
      </c>
      <c r="J9" s="17">
        <f>2893000/11</f>
        <v>263000</v>
      </c>
      <c r="K9" s="17">
        <f t="shared" ref="K9:T9" si="2">2893000/11</f>
        <v>263000</v>
      </c>
      <c r="L9" s="17">
        <f t="shared" si="2"/>
        <v>263000</v>
      </c>
      <c r="M9" s="17">
        <f t="shared" si="2"/>
        <v>263000</v>
      </c>
      <c r="N9" s="17">
        <f t="shared" si="2"/>
        <v>263000</v>
      </c>
      <c r="O9" s="17">
        <f t="shared" si="2"/>
        <v>263000</v>
      </c>
      <c r="P9" s="17">
        <f t="shared" si="2"/>
        <v>263000</v>
      </c>
      <c r="Q9" s="17">
        <f t="shared" si="2"/>
        <v>263000</v>
      </c>
      <c r="R9" s="17">
        <f t="shared" si="2"/>
        <v>263000</v>
      </c>
      <c r="S9" s="17">
        <f t="shared" si="2"/>
        <v>263000</v>
      </c>
      <c r="T9" s="43">
        <f t="shared" si="2"/>
        <v>263000</v>
      </c>
      <c r="U9" s="15">
        <f t="shared" ref="U9:U16" si="3">SUM(I9:T9)</f>
        <v>3300000</v>
      </c>
      <c r="V9" s="15">
        <f t="shared" ref="V9:V16" si="4">H9-U9</f>
        <v>0</v>
      </c>
    </row>
    <row r="10" spans="1:22" ht="52.9" x14ac:dyDescent="0.3">
      <c r="A10" s="4" t="s">
        <v>33</v>
      </c>
      <c r="B10" s="5" t="s">
        <v>34</v>
      </c>
      <c r="C10" s="15">
        <v>78000000</v>
      </c>
      <c r="D10" s="148"/>
      <c r="E10" s="144"/>
      <c r="F10" s="144"/>
      <c r="G10" s="145"/>
      <c r="H10" s="32">
        <f t="shared" si="1"/>
        <v>78000000</v>
      </c>
      <c r="I10" s="48"/>
      <c r="J10" s="17">
        <v>78000000</v>
      </c>
      <c r="K10" s="17"/>
      <c r="L10" s="17"/>
      <c r="M10" s="17"/>
      <c r="N10" s="17"/>
      <c r="O10" s="17"/>
      <c r="P10" s="17"/>
      <c r="Q10" s="17"/>
      <c r="R10" s="17"/>
      <c r="S10" s="17"/>
      <c r="T10" s="43"/>
      <c r="U10" s="15">
        <f t="shared" si="3"/>
        <v>78000000</v>
      </c>
      <c r="V10" s="15">
        <f t="shared" si="4"/>
        <v>0</v>
      </c>
    </row>
    <row r="11" spans="1:22" ht="39.6" x14ac:dyDescent="0.3">
      <c r="A11" s="4" t="s">
        <v>35</v>
      </c>
      <c r="B11" s="5" t="s">
        <v>36</v>
      </c>
      <c r="C11" s="15">
        <v>28000000</v>
      </c>
      <c r="D11" s="148"/>
      <c r="E11" s="144"/>
      <c r="F11" s="144"/>
      <c r="G11" s="145"/>
      <c r="H11" s="32">
        <f t="shared" si="1"/>
        <v>28000000</v>
      </c>
      <c r="I11" s="48"/>
      <c r="J11" s="17"/>
      <c r="K11" s="17"/>
      <c r="L11" s="17"/>
      <c r="M11" s="17"/>
      <c r="N11" s="17"/>
      <c r="O11" s="17">
        <v>28000000</v>
      </c>
      <c r="P11" s="17"/>
      <c r="Q11" s="17"/>
      <c r="R11" s="17"/>
      <c r="S11" s="17"/>
      <c r="T11" s="43"/>
      <c r="U11" s="15">
        <f t="shared" si="3"/>
        <v>28000000</v>
      </c>
      <c r="V11" s="15">
        <f t="shared" si="4"/>
        <v>0</v>
      </c>
    </row>
    <row r="12" spans="1:22" ht="25.5" x14ac:dyDescent="0.25">
      <c r="A12" s="4" t="s">
        <v>37</v>
      </c>
      <c r="B12" s="5" t="s">
        <v>38</v>
      </c>
      <c r="C12" s="15">
        <v>200000</v>
      </c>
      <c r="D12" s="148"/>
      <c r="E12" s="144"/>
      <c r="F12" s="144"/>
      <c r="G12" s="145"/>
      <c r="H12" s="32">
        <f t="shared" si="1"/>
        <v>200000</v>
      </c>
      <c r="I12" s="48">
        <v>1100</v>
      </c>
      <c r="J12" s="17">
        <f>198900/11</f>
        <v>18081.81818181818</v>
      </c>
      <c r="K12" s="17">
        <f t="shared" ref="K12:T12" si="5">198900/11</f>
        <v>18081.81818181818</v>
      </c>
      <c r="L12" s="17">
        <f t="shared" si="5"/>
        <v>18081.81818181818</v>
      </c>
      <c r="M12" s="17">
        <f t="shared" si="5"/>
        <v>18081.81818181818</v>
      </c>
      <c r="N12" s="17">
        <f t="shared" si="5"/>
        <v>18081.81818181818</v>
      </c>
      <c r="O12" s="17">
        <f t="shared" si="5"/>
        <v>18081.81818181818</v>
      </c>
      <c r="P12" s="17">
        <f t="shared" si="5"/>
        <v>18081.81818181818</v>
      </c>
      <c r="Q12" s="17">
        <f t="shared" si="5"/>
        <v>18081.81818181818</v>
      </c>
      <c r="R12" s="17">
        <f t="shared" si="5"/>
        <v>18081.81818181818</v>
      </c>
      <c r="S12" s="17">
        <f t="shared" si="5"/>
        <v>18081.81818181818</v>
      </c>
      <c r="T12" s="17">
        <f t="shared" si="5"/>
        <v>18081.81818181818</v>
      </c>
      <c r="U12" s="15">
        <f t="shared" si="3"/>
        <v>199999.99999999997</v>
      </c>
      <c r="V12" s="15">
        <f t="shared" si="4"/>
        <v>0</v>
      </c>
    </row>
    <row r="13" spans="1:22" ht="25.5" x14ac:dyDescent="0.25">
      <c r="A13" s="6" t="s">
        <v>39</v>
      </c>
      <c r="B13" s="7" t="s">
        <v>40</v>
      </c>
      <c r="C13" s="19">
        <v>1000</v>
      </c>
      <c r="D13" s="148">
        <v>1075935</v>
      </c>
      <c r="E13" s="144"/>
      <c r="F13" s="144"/>
      <c r="G13" s="145"/>
      <c r="H13" s="32">
        <f t="shared" si="1"/>
        <v>1076935</v>
      </c>
      <c r="I13" s="49">
        <v>1075935</v>
      </c>
      <c r="J13" s="21">
        <v>1000</v>
      </c>
      <c r="K13" s="21"/>
      <c r="L13" s="21"/>
      <c r="M13" s="21"/>
      <c r="N13" s="21"/>
      <c r="O13" s="21"/>
      <c r="P13" s="21"/>
      <c r="Q13" s="21"/>
      <c r="R13" s="21"/>
      <c r="S13" s="21"/>
      <c r="T13" s="46"/>
      <c r="U13" s="15">
        <f t="shared" si="3"/>
        <v>1076935</v>
      </c>
      <c r="V13" s="15">
        <f t="shared" si="4"/>
        <v>0</v>
      </c>
    </row>
    <row r="14" spans="1:22" ht="25.5" x14ac:dyDescent="0.25">
      <c r="A14" s="6" t="s">
        <v>41</v>
      </c>
      <c r="B14" s="7" t="s">
        <v>42</v>
      </c>
      <c r="C14" s="19">
        <v>1000</v>
      </c>
      <c r="D14" s="148">
        <v>30546317</v>
      </c>
      <c r="E14" s="144"/>
      <c r="F14" s="144"/>
      <c r="G14" s="145"/>
      <c r="H14" s="32">
        <f t="shared" si="1"/>
        <v>30547317</v>
      </c>
      <c r="I14" s="49">
        <v>30546317</v>
      </c>
      <c r="J14" s="21">
        <v>1000</v>
      </c>
      <c r="K14" s="21"/>
      <c r="L14" s="21"/>
      <c r="M14" s="21"/>
      <c r="N14" s="21"/>
      <c r="O14" s="21"/>
      <c r="P14" s="21"/>
      <c r="Q14" s="21"/>
      <c r="R14" s="21"/>
      <c r="S14" s="21"/>
      <c r="T14" s="46"/>
      <c r="U14" s="15">
        <f t="shared" si="3"/>
        <v>30547317</v>
      </c>
      <c r="V14" s="15">
        <f t="shared" si="4"/>
        <v>0</v>
      </c>
    </row>
    <row r="15" spans="1:22" ht="25.5" x14ac:dyDescent="0.25">
      <c r="A15" s="6" t="s">
        <v>43</v>
      </c>
      <c r="B15" s="7" t="s">
        <v>44</v>
      </c>
      <c r="C15" s="19">
        <v>1000</v>
      </c>
      <c r="D15" s="148">
        <v>19939560</v>
      </c>
      <c r="E15" s="144"/>
      <c r="F15" s="144"/>
      <c r="G15" s="145"/>
      <c r="H15" s="32">
        <f t="shared" si="1"/>
        <v>19940560</v>
      </c>
      <c r="I15" s="49">
        <v>19939560</v>
      </c>
      <c r="J15" s="21">
        <v>1000</v>
      </c>
      <c r="K15" s="21"/>
      <c r="L15" s="21"/>
      <c r="M15" s="21"/>
      <c r="N15" s="21"/>
      <c r="O15" s="21"/>
      <c r="P15" s="21"/>
      <c r="Q15" s="21"/>
      <c r="R15" s="21"/>
      <c r="S15" s="21"/>
      <c r="T15" s="46"/>
      <c r="U15" s="15">
        <f t="shared" si="3"/>
        <v>19940560</v>
      </c>
      <c r="V15" s="15">
        <f t="shared" si="4"/>
        <v>0</v>
      </c>
    </row>
    <row r="16" spans="1:22" ht="13.5" thickBot="1" x14ac:dyDescent="0.3">
      <c r="A16" s="6"/>
      <c r="B16" s="7"/>
      <c r="C16" s="19"/>
      <c r="D16" s="138"/>
      <c r="E16" s="139"/>
      <c r="F16" s="139"/>
      <c r="G16" s="146"/>
      <c r="H16" s="32">
        <f t="shared" si="1"/>
        <v>0</v>
      </c>
      <c r="I16" s="50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44"/>
      <c r="U16" s="15">
        <f t="shared" si="3"/>
        <v>0</v>
      </c>
      <c r="V16" s="15">
        <f t="shared" si="4"/>
        <v>0</v>
      </c>
    </row>
    <row r="17" spans="1:22" ht="13.5" thickBot="1" x14ac:dyDescent="0.3">
      <c r="A17" s="135" t="s">
        <v>26</v>
      </c>
      <c r="B17" s="136"/>
      <c r="C17" s="23">
        <f>SUM(C8:C16)</f>
        <v>112503000</v>
      </c>
      <c r="D17" s="140">
        <f>SUM(D8:E16)</f>
        <v>51561812</v>
      </c>
      <c r="E17" s="141"/>
      <c r="F17" s="140">
        <f>SUM(F8:G16)</f>
        <v>0</v>
      </c>
      <c r="G17" s="141"/>
      <c r="H17" s="23">
        <f t="shared" ref="H17:V17" si="6">SUM(H8:H16)</f>
        <v>164064812</v>
      </c>
      <c r="I17" s="37">
        <f t="shared" si="6"/>
        <v>51969912</v>
      </c>
      <c r="J17" s="38">
        <f t="shared" si="6"/>
        <v>78584081.818181813</v>
      </c>
      <c r="K17" s="38">
        <f t="shared" si="6"/>
        <v>581081.81818181823</v>
      </c>
      <c r="L17" s="38">
        <f t="shared" si="6"/>
        <v>581081.81818181823</v>
      </c>
      <c r="M17" s="38">
        <f t="shared" si="6"/>
        <v>581081.81818181823</v>
      </c>
      <c r="N17" s="38">
        <f t="shared" si="6"/>
        <v>581081.81818181823</v>
      </c>
      <c r="O17" s="38">
        <f t="shared" si="6"/>
        <v>28581081.818181816</v>
      </c>
      <c r="P17" s="38">
        <f t="shared" si="6"/>
        <v>581081.81818181823</v>
      </c>
      <c r="Q17" s="38">
        <f t="shared" si="6"/>
        <v>581081.81818181823</v>
      </c>
      <c r="R17" s="38">
        <f t="shared" si="6"/>
        <v>581081.81818181823</v>
      </c>
      <c r="S17" s="38">
        <f t="shared" si="6"/>
        <v>581081.81818181823</v>
      </c>
      <c r="T17" s="51">
        <f t="shared" si="6"/>
        <v>281081.81818181818</v>
      </c>
      <c r="U17" s="23">
        <f t="shared" si="6"/>
        <v>164064812</v>
      </c>
      <c r="V17" s="23">
        <f t="shared" si="6"/>
        <v>0</v>
      </c>
    </row>
    <row r="19" spans="1:22" ht="13.5" thickBot="1" x14ac:dyDescent="0.3">
      <c r="A19" s="124" t="s">
        <v>23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</row>
    <row r="20" spans="1:22" x14ac:dyDescent="0.25">
      <c r="A20" s="133" t="s">
        <v>2</v>
      </c>
      <c r="B20" s="127" t="s">
        <v>3</v>
      </c>
      <c r="C20" s="120" t="s">
        <v>4</v>
      </c>
      <c r="D20" s="125" t="s">
        <v>5</v>
      </c>
      <c r="E20" s="129"/>
      <c r="F20" s="129"/>
      <c r="G20" s="130"/>
      <c r="H20" s="120" t="s">
        <v>8</v>
      </c>
      <c r="I20" s="133" t="s">
        <v>9</v>
      </c>
      <c r="J20" s="122" t="s">
        <v>10</v>
      </c>
      <c r="K20" s="122" t="s">
        <v>11</v>
      </c>
      <c r="L20" s="122" t="s">
        <v>12</v>
      </c>
      <c r="M20" s="122" t="s">
        <v>13</v>
      </c>
      <c r="N20" s="122" t="s">
        <v>14</v>
      </c>
      <c r="O20" s="122" t="s">
        <v>15</v>
      </c>
      <c r="P20" s="122" t="s">
        <v>16</v>
      </c>
      <c r="Q20" s="122" t="s">
        <v>17</v>
      </c>
      <c r="R20" s="122" t="s">
        <v>18</v>
      </c>
      <c r="S20" s="122" t="s">
        <v>19</v>
      </c>
      <c r="T20" s="127" t="s">
        <v>20</v>
      </c>
      <c r="U20" s="152" t="s">
        <v>21</v>
      </c>
      <c r="V20" s="120" t="s">
        <v>22</v>
      </c>
    </row>
    <row r="21" spans="1:22" ht="25.5" customHeight="1" thickBot="1" x14ac:dyDescent="0.3">
      <c r="A21" s="149"/>
      <c r="B21" s="128"/>
      <c r="C21" s="121"/>
      <c r="D21" s="8" t="s">
        <v>6</v>
      </c>
      <c r="E21" s="9" t="s">
        <v>7</v>
      </c>
      <c r="F21" s="9" t="s">
        <v>24</v>
      </c>
      <c r="G21" s="10" t="s">
        <v>25</v>
      </c>
      <c r="H21" s="121"/>
      <c r="I21" s="134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37"/>
      <c r="U21" s="153"/>
      <c r="V21" s="121"/>
    </row>
    <row r="22" spans="1:22" ht="63.75" x14ac:dyDescent="0.25">
      <c r="A22" s="2" t="s">
        <v>75</v>
      </c>
      <c r="B22" s="3" t="s">
        <v>76</v>
      </c>
      <c r="C22" s="11">
        <v>0</v>
      </c>
      <c r="D22" s="12">
        <v>19939560</v>
      </c>
      <c r="E22" s="13"/>
      <c r="F22" s="13"/>
      <c r="G22" s="14"/>
      <c r="H22" s="27">
        <f>C22+D22-E22+F22-G22</f>
        <v>19939560</v>
      </c>
      <c r="I22" s="47"/>
      <c r="J22" s="29">
        <f>19939560/10</f>
        <v>1993956</v>
      </c>
      <c r="K22" s="29">
        <f t="shared" ref="K22:S22" si="7">19939560/10</f>
        <v>1993956</v>
      </c>
      <c r="L22" s="29">
        <f t="shared" si="7"/>
        <v>1993956</v>
      </c>
      <c r="M22" s="29">
        <f t="shared" si="7"/>
        <v>1993956</v>
      </c>
      <c r="N22" s="29">
        <f t="shared" si="7"/>
        <v>1993956</v>
      </c>
      <c r="O22" s="29">
        <f t="shared" si="7"/>
        <v>1993956</v>
      </c>
      <c r="P22" s="29">
        <f t="shared" si="7"/>
        <v>1993956</v>
      </c>
      <c r="Q22" s="29">
        <f t="shared" si="7"/>
        <v>1993956</v>
      </c>
      <c r="R22" s="29">
        <f t="shared" si="7"/>
        <v>1993956</v>
      </c>
      <c r="S22" s="29">
        <f t="shared" si="7"/>
        <v>1993956</v>
      </c>
      <c r="T22" s="41"/>
      <c r="U22" s="52">
        <f>SUM(I22:T22)</f>
        <v>19939560</v>
      </c>
      <c r="V22" s="11">
        <f>H22-U22</f>
        <v>0</v>
      </c>
    </row>
    <row r="23" spans="1:22" ht="51" x14ac:dyDescent="0.25">
      <c r="A23" s="2" t="s">
        <v>45</v>
      </c>
      <c r="B23" s="3" t="s">
        <v>46</v>
      </c>
      <c r="C23" s="11">
        <v>18500000</v>
      </c>
      <c r="D23" s="12"/>
      <c r="E23" s="13"/>
      <c r="F23" s="13"/>
      <c r="G23" s="14"/>
      <c r="H23" s="27">
        <f t="shared" ref="H23:H40" si="8">C23+D23-E23+F23-G23</f>
        <v>18500000</v>
      </c>
      <c r="I23" s="53"/>
      <c r="J23" s="13"/>
      <c r="K23" s="13"/>
      <c r="L23" s="13"/>
      <c r="M23" s="13"/>
      <c r="N23" s="13"/>
      <c r="O23" s="13">
        <f>18500000/5</f>
        <v>3700000</v>
      </c>
      <c r="P23" s="13">
        <f t="shared" ref="P23:S23" si="9">18500000/5</f>
        <v>3700000</v>
      </c>
      <c r="Q23" s="13">
        <f t="shared" si="9"/>
        <v>3700000</v>
      </c>
      <c r="R23" s="13">
        <f t="shared" si="9"/>
        <v>3700000</v>
      </c>
      <c r="S23" s="13">
        <f t="shared" si="9"/>
        <v>3700000</v>
      </c>
      <c r="T23" s="54"/>
      <c r="U23" s="55">
        <f t="shared" ref="U23" si="10">SUM(I23:T23)</f>
        <v>18500000</v>
      </c>
      <c r="V23" s="11">
        <f t="shared" ref="V23" si="11">H23-U23</f>
        <v>0</v>
      </c>
    </row>
    <row r="24" spans="1:22" ht="63.75" x14ac:dyDescent="0.25">
      <c r="A24" s="2" t="s">
        <v>77</v>
      </c>
      <c r="B24" s="3" t="s">
        <v>78</v>
      </c>
      <c r="C24" s="11">
        <v>0</v>
      </c>
      <c r="D24" s="12">
        <v>16000000</v>
      </c>
      <c r="E24" s="13"/>
      <c r="F24" s="13"/>
      <c r="G24" s="14"/>
      <c r="H24" s="27">
        <f t="shared" si="8"/>
        <v>16000000</v>
      </c>
      <c r="I24" s="53"/>
      <c r="J24" s="13">
        <f>16000000/10</f>
        <v>1600000</v>
      </c>
      <c r="K24" s="13">
        <f t="shared" ref="K24:S24" si="12">16000000/10</f>
        <v>1600000</v>
      </c>
      <c r="L24" s="13">
        <f t="shared" si="12"/>
        <v>1600000</v>
      </c>
      <c r="M24" s="13">
        <f t="shared" si="12"/>
        <v>1600000</v>
      </c>
      <c r="N24" s="13">
        <f t="shared" si="12"/>
        <v>1600000</v>
      </c>
      <c r="O24" s="13">
        <f t="shared" si="12"/>
        <v>1600000</v>
      </c>
      <c r="P24" s="13">
        <f t="shared" si="12"/>
        <v>1600000</v>
      </c>
      <c r="Q24" s="13">
        <f t="shared" si="12"/>
        <v>1600000</v>
      </c>
      <c r="R24" s="13">
        <f t="shared" si="12"/>
        <v>1600000</v>
      </c>
      <c r="S24" s="13">
        <f t="shared" si="12"/>
        <v>1600000</v>
      </c>
      <c r="T24" s="54"/>
      <c r="U24" s="55">
        <f t="shared" ref="U24" si="13">SUM(I24:T24)</f>
        <v>16000000</v>
      </c>
      <c r="V24" s="11">
        <f t="shared" ref="V24" si="14">H24-U24</f>
        <v>0</v>
      </c>
    </row>
    <row r="25" spans="1:22" ht="38.25" x14ac:dyDescent="0.25">
      <c r="A25" s="2" t="s">
        <v>47</v>
      </c>
      <c r="B25" s="3" t="s">
        <v>48</v>
      </c>
      <c r="C25" s="11">
        <v>14000000</v>
      </c>
      <c r="D25" s="12"/>
      <c r="E25" s="13"/>
      <c r="F25" s="13"/>
      <c r="G25" s="14"/>
      <c r="H25" s="27">
        <f t="shared" si="8"/>
        <v>14000000</v>
      </c>
      <c r="I25" s="48"/>
      <c r="J25" s="17">
        <f>14000000/10</f>
        <v>1400000</v>
      </c>
      <c r="K25" s="17">
        <f t="shared" ref="K25:S25" si="15">14000000/10</f>
        <v>1400000</v>
      </c>
      <c r="L25" s="17">
        <f t="shared" si="15"/>
        <v>1400000</v>
      </c>
      <c r="M25" s="17">
        <f t="shared" si="15"/>
        <v>1400000</v>
      </c>
      <c r="N25" s="17">
        <f t="shared" si="15"/>
        <v>1400000</v>
      </c>
      <c r="O25" s="17">
        <f t="shared" si="15"/>
        <v>1400000</v>
      </c>
      <c r="P25" s="17">
        <f t="shared" si="15"/>
        <v>1400000</v>
      </c>
      <c r="Q25" s="17">
        <f t="shared" si="15"/>
        <v>1400000</v>
      </c>
      <c r="R25" s="17">
        <f t="shared" si="15"/>
        <v>1400000</v>
      </c>
      <c r="S25" s="17">
        <f t="shared" si="15"/>
        <v>1400000</v>
      </c>
      <c r="T25" s="43"/>
      <c r="U25" s="55">
        <f t="shared" ref="U25:U40" si="16">SUM(I25:T25)</f>
        <v>14000000</v>
      </c>
      <c r="V25" s="11">
        <f t="shared" ref="V25:V40" si="17">H25-U25</f>
        <v>0</v>
      </c>
    </row>
    <row r="26" spans="1:22" ht="51" x14ac:dyDescent="0.25">
      <c r="A26" s="2" t="s">
        <v>49</v>
      </c>
      <c r="B26" s="3" t="s">
        <v>50</v>
      </c>
      <c r="C26" s="11">
        <v>1000</v>
      </c>
      <c r="D26" s="12"/>
      <c r="E26" s="13"/>
      <c r="F26" s="13"/>
      <c r="G26" s="14"/>
      <c r="H26" s="27">
        <f t="shared" si="8"/>
        <v>1000</v>
      </c>
      <c r="I26" s="48"/>
      <c r="J26" s="17">
        <f>1000/10</f>
        <v>100</v>
      </c>
      <c r="K26" s="17">
        <f t="shared" ref="K26:S26" si="18">1000/10</f>
        <v>100</v>
      </c>
      <c r="L26" s="17">
        <f t="shared" si="18"/>
        <v>100</v>
      </c>
      <c r="M26" s="17">
        <f t="shared" si="18"/>
        <v>100</v>
      </c>
      <c r="N26" s="17">
        <f t="shared" si="18"/>
        <v>100</v>
      </c>
      <c r="O26" s="17">
        <f t="shared" si="18"/>
        <v>100</v>
      </c>
      <c r="P26" s="17">
        <f t="shared" si="18"/>
        <v>100</v>
      </c>
      <c r="Q26" s="17">
        <f t="shared" si="18"/>
        <v>100</v>
      </c>
      <c r="R26" s="17">
        <f t="shared" si="18"/>
        <v>100</v>
      </c>
      <c r="S26" s="17">
        <f t="shared" si="18"/>
        <v>100</v>
      </c>
      <c r="T26" s="43"/>
      <c r="U26" s="55">
        <f t="shared" si="16"/>
        <v>1000</v>
      </c>
      <c r="V26" s="11">
        <f t="shared" si="17"/>
        <v>0</v>
      </c>
    </row>
    <row r="27" spans="1:22" ht="38.25" x14ac:dyDescent="0.25">
      <c r="A27" s="2" t="s">
        <v>51</v>
      </c>
      <c r="B27" s="3" t="s">
        <v>52</v>
      </c>
      <c r="C27" s="11">
        <v>20000000</v>
      </c>
      <c r="D27" s="12"/>
      <c r="E27" s="13"/>
      <c r="F27" s="13"/>
      <c r="G27" s="14"/>
      <c r="H27" s="27">
        <f t="shared" si="8"/>
        <v>20000000</v>
      </c>
      <c r="I27" s="48"/>
      <c r="J27" s="17">
        <f>20000000/10</f>
        <v>2000000</v>
      </c>
      <c r="K27" s="17">
        <f t="shared" ref="K27:S27" si="19">20000000/10</f>
        <v>2000000</v>
      </c>
      <c r="L27" s="17">
        <f t="shared" si="19"/>
        <v>2000000</v>
      </c>
      <c r="M27" s="17">
        <f t="shared" si="19"/>
        <v>2000000</v>
      </c>
      <c r="N27" s="17">
        <f t="shared" si="19"/>
        <v>2000000</v>
      </c>
      <c r="O27" s="17">
        <f t="shared" si="19"/>
        <v>2000000</v>
      </c>
      <c r="P27" s="17">
        <f t="shared" si="19"/>
        <v>2000000</v>
      </c>
      <c r="Q27" s="17">
        <f t="shared" si="19"/>
        <v>2000000</v>
      </c>
      <c r="R27" s="17">
        <f t="shared" si="19"/>
        <v>2000000</v>
      </c>
      <c r="S27" s="17">
        <f t="shared" si="19"/>
        <v>2000000</v>
      </c>
      <c r="T27" s="43"/>
      <c r="U27" s="55">
        <f t="shared" si="16"/>
        <v>20000000</v>
      </c>
      <c r="V27" s="11">
        <f t="shared" si="17"/>
        <v>0</v>
      </c>
    </row>
    <row r="28" spans="1:22" ht="38.25" x14ac:dyDescent="0.25">
      <c r="A28" s="2" t="s">
        <v>53</v>
      </c>
      <c r="B28" s="3" t="s">
        <v>54</v>
      </c>
      <c r="C28" s="11">
        <v>2300000</v>
      </c>
      <c r="D28" s="12"/>
      <c r="E28" s="13"/>
      <c r="F28" s="13"/>
      <c r="G28" s="14"/>
      <c r="H28" s="27">
        <f t="shared" si="8"/>
        <v>2300000</v>
      </c>
      <c r="I28" s="48"/>
      <c r="J28" s="17">
        <f>2300000/10</f>
        <v>230000</v>
      </c>
      <c r="K28" s="17">
        <f t="shared" ref="K28:S28" si="20">2300000/10</f>
        <v>230000</v>
      </c>
      <c r="L28" s="17">
        <f t="shared" si="20"/>
        <v>230000</v>
      </c>
      <c r="M28" s="17">
        <f t="shared" si="20"/>
        <v>230000</v>
      </c>
      <c r="N28" s="17">
        <f t="shared" si="20"/>
        <v>230000</v>
      </c>
      <c r="O28" s="17">
        <f t="shared" si="20"/>
        <v>230000</v>
      </c>
      <c r="P28" s="17">
        <f t="shared" si="20"/>
        <v>230000</v>
      </c>
      <c r="Q28" s="17">
        <f t="shared" si="20"/>
        <v>230000</v>
      </c>
      <c r="R28" s="17">
        <f t="shared" si="20"/>
        <v>230000</v>
      </c>
      <c r="S28" s="17">
        <f t="shared" si="20"/>
        <v>230000</v>
      </c>
      <c r="T28" s="43"/>
      <c r="U28" s="55">
        <f t="shared" si="16"/>
        <v>2300000</v>
      </c>
      <c r="V28" s="11">
        <f t="shared" si="17"/>
        <v>0</v>
      </c>
    </row>
    <row r="29" spans="1:22" ht="38.25" x14ac:dyDescent="0.25">
      <c r="A29" s="2" t="s">
        <v>55</v>
      </c>
      <c r="B29" s="3" t="s">
        <v>56</v>
      </c>
      <c r="C29" s="11">
        <v>200000</v>
      </c>
      <c r="D29" s="12"/>
      <c r="E29" s="13"/>
      <c r="F29" s="13"/>
      <c r="G29" s="14"/>
      <c r="H29" s="27">
        <f t="shared" si="8"/>
        <v>200000</v>
      </c>
      <c r="I29" s="48"/>
      <c r="J29" s="17">
        <f>200000/10</f>
        <v>20000</v>
      </c>
      <c r="K29" s="17">
        <f t="shared" ref="K29:S29" si="21">200000/10</f>
        <v>20000</v>
      </c>
      <c r="L29" s="17">
        <f t="shared" si="21"/>
        <v>20000</v>
      </c>
      <c r="M29" s="17">
        <f t="shared" si="21"/>
        <v>20000</v>
      </c>
      <c r="N29" s="17">
        <f t="shared" si="21"/>
        <v>20000</v>
      </c>
      <c r="O29" s="17">
        <f t="shared" si="21"/>
        <v>20000</v>
      </c>
      <c r="P29" s="17">
        <f t="shared" si="21"/>
        <v>20000</v>
      </c>
      <c r="Q29" s="17">
        <f t="shared" si="21"/>
        <v>20000</v>
      </c>
      <c r="R29" s="17">
        <f t="shared" si="21"/>
        <v>20000</v>
      </c>
      <c r="S29" s="17">
        <f t="shared" si="21"/>
        <v>20000</v>
      </c>
      <c r="T29" s="43"/>
      <c r="U29" s="55">
        <f t="shared" si="16"/>
        <v>200000</v>
      </c>
      <c r="V29" s="11">
        <f t="shared" si="17"/>
        <v>0</v>
      </c>
    </row>
    <row r="30" spans="1:22" ht="51" x14ac:dyDescent="0.25">
      <c r="A30" s="2" t="s">
        <v>57</v>
      </c>
      <c r="B30" s="3" t="s">
        <v>58</v>
      </c>
      <c r="C30" s="11">
        <v>1500000</v>
      </c>
      <c r="D30" s="12"/>
      <c r="E30" s="13"/>
      <c r="F30" s="13"/>
      <c r="G30" s="14"/>
      <c r="H30" s="27">
        <f t="shared" si="8"/>
        <v>1500000</v>
      </c>
      <c r="I30" s="48">
        <v>146251</v>
      </c>
      <c r="J30" s="17">
        <f>1353749/11</f>
        <v>123068.09090909091</v>
      </c>
      <c r="K30" s="17">
        <f t="shared" ref="K30:T30" si="22">1353749/11</f>
        <v>123068.09090909091</v>
      </c>
      <c r="L30" s="17">
        <f t="shared" si="22"/>
        <v>123068.09090909091</v>
      </c>
      <c r="M30" s="17">
        <f t="shared" si="22"/>
        <v>123068.09090909091</v>
      </c>
      <c r="N30" s="17">
        <f t="shared" si="22"/>
        <v>123068.09090909091</v>
      </c>
      <c r="O30" s="17">
        <f t="shared" si="22"/>
        <v>123068.09090909091</v>
      </c>
      <c r="P30" s="17">
        <f t="shared" si="22"/>
        <v>123068.09090909091</v>
      </c>
      <c r="Q30" s="17">
        <f t="shared" si="22"/>
        <v>123068.09090909091</v>
      </c>
      <c r="R30" s="17">
        <f t="shared" si="22"/>
        <v>123068.09090909091</v>
      </c>
      <c r="S30" s="17">
        <f t="shared" si="22"/>
        <v>123068.09090909091</v>
      </c>
      <c r="T30" s="17">
        <f t="shared" si="22"/>
        <v>123068.09090909091</v>
      </c>
      <c r="U30" s="55">
        <f t="shared" si="16"/>
        <v>1500000</v>
      </c>
      <c r="V30" s="11">
        <f t="shared" si="17"/>
        <v>0</v>
      </c>
    </row>
    <row r="31" spans="1:22" ht="51" x14ac:dyDescent="0.25">
      <c r="A31" s="2" t="s">
        <v>79</v>
      </c>
      <c r="B31" s="3" t="s">
        <v>80</v>
      </c>
      <c r="C31" s="11">
        <v>0</v>
      </c>
      <c r="D31" s="12">
        <v>1075935</v>
      </c>
      <c r="E31" s="13"/>
      <c r="F31" s="13"/>
      <c r="G31" s="14"/>
      <c r="H31" s="27">
        <f t="shared" si="8"/>
        <v>1075935</v>
      </c>
      <c r="I31" s="48"/>
      <c r="J31" s="17">
        <f>1075935/11</f>
        <v>97812.272727272721</v>
      </c>
      <c r="K31" s="17">
        <f t="shared" ref="K31:T31" si="23">1075935/11</f>
        <v>97812.272727272721</v>
      </c>
      <c r="L31" s="17">
        <f t="shared" si="23"/>
        <v>97812.272727272721</v>
      </c>
      <c r="M31" s="17">
        <f t="shared" si="23"/>
        <v>97812.272727272721</v>
      </c>
      <c r="N31" s="17">
        <f t="shared" si="23"/>
        <v>97812.272727272721</v>
      </c>
      <c r="O31" s="17">
        <f t="shared" si="23"/>
        <v>97812.272727272721</v>
      </c>
      <c r="P31" s="17">
        <f t="shared" si="23"/>
        <v>97812.272727272721</v>
      </c>
      <c r="Q31" s="17">
        <f t="shared" si="23"/>
        <v>97812.272727272721</v>
      </c>
      <c r="R31" s="17">
        <f t="shared" si="23"/>
        <v>97812.272727272721</v>
      </c>
      <c r="S31" s="17">
        <f t="shared" si="23"/>
        <v>97812.272727272721</v>
      </c>
      <c r="T31" s="17">
        <f t="shared" si="23"/>
        <v>97812.272727272721</v>
      </c>
      <c r="U31" s="55">
        <f t="shared" ref="U31" si="24">SUM(I31:T31)</f>
        <v>1075935</v>
      </c>
      <c r="V31" s="11">
        <f t="shared" ref="V31" si="25">H31-U31</f>
        <v>0</v>
      </c>
    </row>
    <row r="32" spans="1:22" ht="51" x14ac:dyDescent="0.25">
      <c r="A32" s="2" t="s">
        <v>59</v>
      </c>
      <c r="B32" s="3" t="s">
        <v>60</v>
      </c>
      <c r="C32" s="11">
        <v>5000000</v>
      </c>
      <c r="D32" s="12"/>
      <c r="E32" s="13"/>
      <c r="F32" s="13"/>
      <c r="G32" s="14"/>
      <c r="H32" s="27">
        <f t="shared" si="8"/>
        <v>5000000</v>
      </c>
      <c r="I32" s="48"/>
      <c r="J32" s="17">
        <f>5000000/10</f>
        <v>500000</v>
      </c>
      <c r="K32" s="17">
        <f t="shared" ref="K32:S32" si="26">5000000/10</f>
        <v>500000</v>
      </c>
      <c r="L32" s="17">
        <f t="shared" si="26"/>
        <v>500000</v>
      </c>
      <c r="M32" s="17">
        <f t="shared" si="26"/>
        <v>500000</v>
      </c>
      <c r="N32" s="17">
        <f t="shared" si="26"/>
        <v>500000</v>
      </c>
      <c r="O32" s="17">
        <f t="shared" si="26"/>
        <v>500000</v>
      </c>
      <c r="P32" s="17">
        <f t="shared" si="26"/>
        <v>500000</v>
      </c>
      <c r="Q32" s="17">
        <f t="shared" si="26"/>
        <v>500000</v>
      </c>
      <c r="R32" s="17">
        <f t="shared" si="26"/>
        <v>500000</v>
      </c>
      <c r="S32" s="17">
        <f t="shared" si="26"/>
        <v>500000</v>
      </c>
      <c r="T32" s="43"/>
      <c r="U32" s="55">
        <f t="shared" si="16"/>
        <v>5000000</v>
      </c>
      <c r="V32" s="11">
        <f t="shared" si="17"/>
        <v>0</v>
      </c>
    </row>
    <row r="33" spans="1:22" ht="51" x14ac:dyDescent="0.25">
      <c r="A33" s="2" t="s">
        <v>61</v>
      </c>
      <c r="B33" s="3" t="s">
        <v>62</v>
      </c>
      <c r="C33" s="11">
        <v>24000000</v>
      </c>
      <c r="D33" s="12"/>
      <c r="E33" s="13"/>
      <c r="F33" s="13"/>
      <c r="G33" s="14"/>
      <c r="H33" s="27">
        <f t="shared" si="8"/>
        <v>24000000</v>
      </c>
      <c r="I33" s="48"/>
      <c r="J33" s="17">
        <f>24000000/10</f>
        <v>2400000</v>
      </c>
      <c r="K33" s="17">
        <f t="shared" ref="K33:S33" si="27">24000000/10</f>
        <v>2400000</v>
      </c>
      <c r="L33" s="17">
        <f t="shared" si="27"/>
        <v>2400000</v>
      </c>
      <c r="M33" s="17">
        <f t="shared" si="27"/>
        <v>2400000</v>
      </c>
      <c r="N33" s="17">
        <f t="shared" si="27"/>
        <v>2400000</v>
      </c>
      <c r="O33" s="17">
        <f t="shared" si="27"/>
        <v>2400000</v>
      </c>
      <c r="P33" s="17">
        <f t="shared" si="27"/>
        <v>2400000</v>
      </c>
      <c r="Q33" s="17">
        <f t="shared" si="27"/>
        <v>2400000</v>
      </c>
      <c r="R33" s="17">
        <f t="shared" si="27"/>
        <v>2400000</v>
      </c>
      <c r="S33" s="17">
        <f t="shared" si="27"/>
        <v>2400000</v>
      </c>
      <c r="T33" s="43"/>
      <c r="U33" s="55">
        <f t="shared" si="16"/>
        <v>24000000</v>
      </c>
      <c r="V33" s="11">
        <f t="shared" si="17"/>
        <v>0</v>
      </c>
    </row>
    <row r="34" spans="1:22" ht="51" x14ac:dyDescent="0.25">
      <c r="A34" s="2" t="s">
        <v>81</v>
      </c>
      <c r="B34" s="3" t="s">
        <v>82</v>
      </c>
      <c r="C34" s="11">
        <v>0</v>
      </c>
      <c r="D34" s="12">
        <v>8000000</v>
      </c>
      <c r="E34" s="13"/>
      <c r="F34" s="13"/>
      <c r="G34" s="14"/>
      <c r="H34" s="27">
        <f t="shared" si="8"/>
        <v>8000000</v>
      </c>
      <c r="I34" s="48"/>
      <c r="J34" s="17">
        <f>8000000/10</f>
        <v>800000</v>
      </c>
      <c r="K34" s="17">
        <f t="shared" ref="K34:S34" si="28">8000000/10</f>
        <v>800000</v>
      </c>
      <c r="L34" s="17">
        <f t="shared" si="28"/>
        <v>800000</v>
      </c>
      <c r="M34" s="17">
        <f t="shared" si="28"/>
        <v>800000</v>
      </c>
      <c r="N34" s="17">
        <f t="shared" si="28"/>
        <v>800000</v>
      </c>
      <c r="O34" s="17">
        <f t="shared" si="28"/>
        <v>800000</v>
      </c>
      <c r="P34" s="17">
        <f t="shared" si="28"/>
        <v>800000</v>
      </c>
      <c r="Q34" s="17">
        <f t="shared" si="28"/>
        <v>800000</v>
      </c>
      <c r="R34" s="17">
        <f t="shared" si="28"/>
        <v>800000</v>
      </c>
      <c r="S34" s="17">
        <f t="shared" si="28"/>
        <v>800000</v>
      </c>
      <c r="T34" s="43"/>
      <c r="U34" s="55">
        <f t="shared" ref="U34" si="29">SUM(I34:T34)</f>
        <v>8000000</v>
      </c>
      <c r="V34" s="11">
        <f t="shared" ref="V34" si="30">H34-U34</f>
        <v>0</v>
      </c>
    </row>
    <row r="35" spans="1:22" ht="51" x14ac:dyDescent="0.25">
      <c r="A35" s="2" t="s">
        <v>63</v>
      </c>
      <c r="B35" s="3" t="s">
        <v>64</v>
      </c>
      <c r="C35" s="11">
        <v>7200000</v>
      </c>
      <c r="D35" s="12"/>
      <c r="E35" s="13"/>
      <c r="F35" s="13"/>
      <c r="G35" s="14"/>
      <c r="H35" s="27">
        <f t="shared" si="8"/>
        <v>7200000</v>
      </c>
      <c r="I35" s="48"/>
      <c r="J35" s="17">
        <f>7200000/10</f>
        <v>720000</v>
      </c>
      <c r="K35" s="17">
        <f t="shared" ref="K35:S35" si="31">7200000/10</f>
        <v>720000</v>
      </c>
      <c r="L35" s="17">
        <f t="shared" si="31"/>
        <v>720000</v>
      </c>
      <c r="M35" s="17">
        <f t="shared" si="31"/>
        <v>720000</v>
      </c>
      <c r="N35" s="17">
        <f t="shared" si="31"/>
        <v>720000</v>
      </c>
      <c r="O35" s="17">
        <f t="shared" si="31"/>
        <v>720000</v>
      </c>
      <c r="P35" s="17">
        <f t="shared" si="31"/>
        <v>720000</v>
      </c>
      <c r="Q35" s="17">
        <f t="shared" si="31"/>
        <v>720000</v>
      </c>
      <c r="R35" s="17">
        <f t="shared" si="31"/>
        <v>720000</v>
      </c>
      <c r="S35" s="17">
        <f t="shared" si="31"/>
        <v>720000</v>
      </c>
      <c r="T35" s="43"/>
      <c r="U35" s="55">
        <f t="shared" si="16"/>
        <v>7200000</v>
      </c>
      <c r="V35" s="11">
        <f t="shared" si="17"/>
        <v>0</v>
      </c>
    </row>
    <row r="36" spans="1:22" ht="51" x14ac:dyDescent="0.25">
      <c r="A36" s="2" t="s">
        <v>65</v>
      </c>
      <c r="B36" s="3" t="s">
        <v>66</v>
      </c>
      <c r="C36" s="11">
        <v>8500000</v>
      </c>
      <c r="D36" s="12"/>
      <c r="E36" s="13"/>
      <c r="F36" s="13"/>
      <c r="G36" s="14"/>
      <c r="H36" s="27">
        <f t="shared" si="8"/>
        <v>8500000</v>
      </c>
      <c r="I36" s="48"/>
      <c r="J36" s="17">
        <f>8500000/10</f>
        <v>850000</v>
      </c>
      <c r="K36" s="17">
        <f t="shared" ref="K36:S36" si="32">8500000/10</f>
        <v>850000</v>
      </c>
      <c r="L36" s="17">
        <f t="shared" si="32"/>
        <v>850000</v>
      </c>
      <c r="M36" s="17">
        <f t="shared" si="32"/>
        <v>850000</v>
      </c>
      <c r="N36" s="17">
        <f t="shared" si="32"/>
        <v>850000</v>
      </c>
      <c r="O36" s="17">
        <f t="shared" si="32"/>
        <v>850000</v>
      </c>
      <c r="P36" s="17">
        <f t="shared" si="32"/>
        <v>850000</v>
      </c>
      <c r="Q36" s="17">
        <f t="shared" si="32"/>
        <v>850000</v>
      </c>
      <c r="R36" s="17">
        <f t="shared" si="32"/>
        <v>850000</v>
      </c>
      <c r="S36" s="17">
        <f t="shared" si="32"/>
        <v>850000</v>
      </c>
      <c r="T36" s="43"/>
      <c r="U36" s="55">
        <f t="shared" si="16"/>
        <v>8500000</v>
      </c>
      <c r="V36" s="11">
        <f t="shared" si="17"/>
        <v>0</v>
      </c>
    </row>
    <row r="37" spans="1:22" ht="51" x14ac:dyDescent="0.25">
      <c r="A37" s="2" t="s">
        <v>67</v>
      </c>
      <c r="B37" s="3" t="s">
        <v>68</v>
      </c>
      <c r="C37" s="11">
        <v>4800000</v>
      </c>
      <c r="D37" s="12"/>
      <c r="E37" s="13"/>
      <c r="F37" s="13"/>
      <c r="G37" s="14"/>
      <c r="H37" s="27">
        <f t="shared" si="8"/>
        <v>4800000</v>
      </c>
      <c r="I37" s="48"/>
      <c r="J37" s="17">
        <f>4800000/10</f>
        <v>480000</v>
      </c>
      <c r="K37" s="17">
        <f t="shared" ref="K37:S37" si="33">4800000/10</f>
        <v>480000</v>
      </c>
      <c r="L37" s="17">
        <f t="shared" si="33"/>
        <v>480000</v>
      </c>
      <c r="M37" s="17">
        <f t="shared" si="33"/>
        <v>480000</v>
      </c>
      <c r="N37" s="17">
        <f t="shared" si="33"/>
        <v>480000</v>
      </c>
      <c r="O37" s="17">
        <f t="shared" si="33"/>
        <v>480000</v>
      </c>
      <c r="P37" s="17">
        <f t="shared" si="33"/>
        <v>480000</v>
      </c>
      <c r="Q37" s="17">
        <f t="shared" si="33"/>
        <v>480000</v>
      </c>
      <c r="R37" s="17">
        <f t="shared" si="33"/>
        <v>480000</v>
      </c>
      <c r="S37" s="17">
        <f t="shared" si="33"/>
        <v>480000</v>
      </c>
      <c r="T37" s="43"/>
      <c r="U37" s="55">
        <f t="shared" si="16"/>
        <v>4800000</v>
      </c>
      <c r="V37" s="11">
        <f t="shared" si="17"/>
        <v>0</v>
      </c>
    </row>
    <row r="38" spans="1:22" ht="51" x14ac:dyDescent="0.25">
      <c r="A38" s="2" t="s">
        <v>69</v>
      </c>
      <c r="B38" s="3" t="s">
        <v>70</v>
      </c>
      <c r="C38" s="11">
        <v>6500000</v>
      </c>
      <c r="D38" s="12"/>
      <c r="E38" s="13"/>
      <c r="F38" s="13"/>
      <c r="G38" s="14"/>
      <c r="H38" s="27">
        <f t="shared" si="8"/>
        <v>6500000</v>
      </c>
      <c r="I38" s="48"/>
      <c r="J38" s="17">
        <f>6500000/11</f>
        <v>590909.09090909094</v>
      </c>
      <c r="K38" s="17">
        <f t="shared" ref="K38:T38" si="34">6500000/11</f>
        <v>590909.09090909094</v>
      </c>
      <c r="L38" s="17">
        <f t="shared" si="34"/>
        <v>590909.09090909094</v>
      </c>
      <c r="M38" s="17">
        <f t="shared" si="34"/>
        <v>590909.09090909094</v>
      </c>
      <c r="N38" s="17">
        <f t="shared" si="34"/>
        <v>590909.09090909094</v>
      </c>
      <c r="O38" s="17">
        <f t="shared" si="34"/>
        <v>590909.09090909094</v>
      </c>
      <c r="P38" s="17">
        <f t="shared" si="34"/>
        <v>590909.09090909094</v>
      </c>
      <c r="Q38" s="17">
        <f t="shared" si="34"/>
        <v>590909.09090909094</v>
      </c>
      <c r="R38" s="17">
        <f t="shared" si="34"/>
        <v>590909.09090909094</v>
      </c>
      <c r="S38" s="17">
        <f t="shared" si="34"/>
        <v>590909.09090909094</v>
      </c>
      <c r="T38" s="17">
        <f t="shared" si="34"/>
        <v>590909.09090909094</v>
      </c>
      <c r="U38" s="55">
        <f t="shared" si="16"/>
        <v>6500000</v>
      </c>
      <c r="V38" s="11">
        <f t="shared" si="17"/>
        <v>0</v>
      </c>
    </row>
    <row r="39" spans="1:22" ht="51" x14ac:dyDescent="0.25">
      <c r="A39" s="2" t="s">
        <v>71</v>
      </c>
      <c r="B39" s="3" t="s">
        <v>72</v>
      </c>
      <c r="C39" s="11">
        <v>1000</v>
      </c>
      <c r="D39" s="12">
        <v>6546317</v>
      </c>
      <c r="E39" s="13"/>
      <c r="F39" s="13"/>
      <c r="G39" s="14"/>
      <c r="H39" s="27">
        <f t="shared" si="8"/>
        <v>6547317</v>
      </c>
      <c r="I39" s="48">
        <v>46945</v>
      </c>
      <c r="J39" s="17">
        <f>6500372/11</f>
        <v>590942.90909090906</v>
      </c>
      <c r="K39" s="17">
        <f t="shared" ref="K39:T39" si="35">6500372/11</f>
        <v>590942.90909090906</v>
      </c>
      <c r="L39" s="17">
        <f t="shared" si="35"/>
        <v>590942.90909090906</v>
      </c>
      <c r="M39" s="17">
        <f t="shared" si="35"/>
        <v>590942.90909090906</v>
      </c>
      <c r="N39" s="17">
        <f t="shared" si="35"/>
        <v>590942.90909090906</v>
      </c>
      <c r="O39" s="17">
        <f t="shared" si="35"/>
        <v>590942.90909090906</v>
      </c>
      <c r="P39" s="17">
        <f t="shared" si="35"/>
        <v>590942.90909090906</v>
      </c>
      <c r="Q39" s="17">
        <f t="shared" si="35"/>
        <v>590942.90909090906</v>
      </c>
      <c r="R39" s="17">
        <f t="shared" si="35"/>
        <v>590942.90909090906</v>
      </c>
      <c r="S39" s="17">
        <f t="shared" si="35"/>
        <v>590942.90909090906</v>
      </c>
      <c r="T39" s="17">
        <f t="shared" si="35"/>
        <v>590942.90909090906</v>
      </c>
      <c r="U39" s="55">
        <f t="shared" si="16"/>
        <v>6547317</v>
      </c>
      <c r="V39" s="11">
        <f t="shared" si="17"/>
        <v>0</v>
      </c>
    </row>
    <row r="40" spans="1:22" ht="38.25" x14ac:dyDescent="0.25">
      <c r="A40" s="2" t="s">
        <v>73</v>
      </c>
      <c r="B40" s="3" t="s">
        <v>74</v>
      </c>
      <c r="C40" s="11">
        <v>1000</v>
      </c>
      <c r="D40" s="12"/>
      <c r="E40" s="13"/>
      <c r="F40" s="13"/>
      <c r="G40" s="14"/>
      <c r="H40" s="27">
        <f t="shared" si="8"/>
        <v>1000</v>
      </c>
      <c r="I40" s="48"/>
      <c r="J40" s="17">
        <f>1000/11</f>
        <v>90.909090909090907</v>
      </c>
      <c r="K40" s="17">
        <f t="shared" ref="K40:T40" si="36">1000/11</f>
        <v>90.909090909090907</v>
      </c>
      <c r="L40" s="17">
        <f t="shared" si="36"/>
        <v>90.909090909090907</v>
      </c>
      <c r="M40" s="17">
        <f t="shared" si="36"/>
        <v>90.909090909090907</v>
      </c>
      <c r="N40" s="17">
        <f t="shared" si="36"/>
        <v>90.909090909090907</v>
      </c>
      <c r="O40" s="17">
        <f t="shared" si="36"/>
        <v>90.909090909090907</v>
      </c>
      <c r="P40" s="17">
        <f t="shared" si="36"/>
        <v>90.909090909090907</v>
      </c>
      <c r="Q40" s="17">
        <f t="shared" si="36"/>
        <v>90.909090909090907</v>
      </c>
      <c r="R40" s="17">
        <f t="shared" si="36"/>
        <v>90.909090909090907</v>
      </c>
      <c r="S40" s="17">
        <f t="shared" si="36"/>
        <v>90.909090909090907</v>
      </c>
      <c r="T40" s="17">
        <f t="shared" si="36"/>
        <v>90.909090909090907</v>
      </c>
      <c r="U40" s="55">
        <f t="shared" si="16"/>
        <v>999.99999999999977</v>
      </c>
      <c r="V40" s="11">
        <f t="shared" si="17"/>
        <v>0</v>
      </c>
    </row>
    <row r="41" spans="1:22" ht="13.5" thickBot="1" x14ac:dyDescent="0.3">
      <c r="A41" s="6"/>
      <c r="B41" s="7"/>
      <c r="C41" s="19"/>
      <c r="D41" s="20"/>
      <c r="E41" s="21"/>
      <c r="F41" s="21"/>
      <c r="G41" s="22"/>
      <c r="H41" s="40"/>
      <c r="I41" s="50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44"/>
      <c r="U41" s="56"/>
      <c r="V41" s="19"/>
    </row>
    <row r="42" spans="1:22" ht="13.5" thickBot="1" x14ac:dyDescent="0.3">
      <c r="A42" s="135" t="s">
        <v>26</v>
      </c>
      <c r="B42" s="136"/>
      <c r="C42" s="23">
        <f t="shared" ref="C42:V42" si="37">SUM(C22:C41)</f>
        <v>112503000</v>
      </c>
      <c r="D42" s="24">
        <f t="shared" si="37"/>
        <v>51561812</v>
      </c>
      <c r="E42" s="25">
        <f t="shared" si="37"/>
        <v>0</v>
      </c>
      <c r="F42" s="25">
        <f t="shared" si="37"/>
        <v>0</v>
      </c>
      <c r="G42" s="26">
        <f t="shared" si="37"/>
        <v>0</v>
      </c>
      <c r="H42" s="23">
        <f t="shared" si="37"/>
        <v>164064812</v>
      </c>
      <c r="I42" s="37">
        <f t="shared" si="37"/>
        <v>193196</v>
      </c>
      <c r="J42" s="38">
        <f t="shared" si="37"/>
        <v>14396879.272727272</v>
      </c>
      <c r="K42" s="38">
        <f t="shared" si="37"/>
        <v>14396879.272727272</v>
      </c>
      <c r="L42" s="38">
        <f t="shared" si="37"/>
        <v>14396879.272727272</v>
      </c>
      <c r="M42" s="38">
        <f t="shared" si="37"/>
        <v>14396879.272727272</v>
      </c>
      <c r="N42" s="38">
        <f t="shared" si="37"/>
        <v>14396879.272727272</v>
      </c>
      <c r="O42" s="38">
        <f t="shared" si="37"/>
        <v>18096879.272727277</v>
      </c>
      <c r="P42" s="38">
        <f t="shared" si="37"/>
        <v>18096879.272727277</v>
      </c>
      <c r="Q42" s="38">
        <f t="shared" si="37"/>
        <v>18096879.272727277</v>
      </c>
      <c r="R42" s="38">
        <f t="shared" si="37"/>
        <v>18096879.272727277</v>
      </c>
      <c r="S42" s="38">
        <f t="shared" si="37"/>
        <v>18096879.272727277</v>
      </c>
      <c r="T42" s="39">
        <f t="shared" si="37"/>
        <v>1402823.2727272729</v>
      </c>
      <c r="U42" s="57">
        <f t="shared" si="37"/>
        <v>164064812</v>
      </c>
      <c r="V42" s="23">
        <f t="shared" si="37"/>
        <v>0</v>
      </c>
    </row>
  </sheetData>
  <mergeCells count="67">
    <mergeCell ref="V20:V21"/>
    <mergeCell ref="A42:B42"/>
    <mergeCell ref="P20:P21"/>
    <mergeCell ref="Q20:Q21"/>
    <mergeCell ref="R20:R21"/>
    <mergeCell ref="S20:S21"/>
    <mergeCell ref="T20:T21"/>
    <mergeCell ref="U20:U21"/>
    <mergeCell ref="J20:J21"/>
    <mergeCell ref="K20:K21"/>
    <mergeCell ref="L20:L21"/>
    <mergeCell ref="M20:M21"/>
    <mergeCell ref="N20:N21"/>
    <mergeCell ref="O20:O21"/>
    <mergeCell ref="A20:A21"/>
    <mergeCell ref="B20:B21"/>
    <mergeCell ref="C20:C21"/>
    <mergeCell ref="D20:G20"/>
    <mergeCell ref="H20:H21"/>
    <mergeCell ref="I20:I21"/>
    <mergeCell ref="D16:E16"/>
    <mergeCell ref="F16:G16"/>
    <mergeCell ref="A17:B17"/>
    <mergeCell ref="D17:E17"/>
    <mergeCell ref="F17:G17"/>
    <mergeCell ref="A19:V19"/>
    <mergeCell ref="D13:E13"/>
    <mergeCell ref="F13:G13"/>
    <mergeCell ref="D14:E14"/>
    <mergeCell ref="F14:G14"/>
    <mergeCell ref="D15:E15"/>
    <mergeCell ref="F15:G15"/>
    <mergeCell ref="D10:E10"/>
    <mergeCell ref="F10:G10"/>
    <mergeCell ref="D11:E11"/>
    <mergeCell ref="F11:G11"/>
    <mergeCell ref="D12:E12"/>
    <mergeCell ref="F12:G12"/>
    <mergeCell ref="D9:E9"/>
    <mergeCell ref="F9:G9"/>
    <mergeCell ref="P6:P7"/>
    <mergeCell ref="Q6:Q7"/>
    <mergeCell ref="R6:R7"/>
    <mergeCell ref="J6:J7"/>
    <mergeCell ref="K6:K7"/>
    <mergeCell ref="L6:L7"/>
    <mergeCell ref="M6:M7"/>
    <mergeCell ref="N6:N7"/>
    <mergeCell ref="O6:O7"/>
    <mergeCell ref="D7:E7"/>
    <mergeCell ref="F7:G7"/>
    <mergeCell ref="D8:E8"/>
    <mergeCell ref="F8:G8"/>
    <mergeCell ref="A1:V1"/>
    <mergeCell ref="A2:V2"/>
    <mergeCell ref="A3:V3"/>
    <mergeCell ref="A5:V5"/>
    <mergeCell ref="A6:A7"/>
    <mergeCell ref="B6:B7"/>
    <mergeCell ref="C6:C7"/>
    <mergeCell ref="D6:G6"/>
    <mergeCell ref="H6:H7"/>
    <mergeCell ref="I6:I7"/>
    <mergeCell ref="V6:V7"/>
    <mergeCell ref="S6:S7"/>
    <mergeCell ref="T6:T7"/>
    <mergeCell ref="U6:U7"/>
  </mergeCells>
  <printOptions horizontalCentered="1" verticalCentered="1"/>
  <pageMargins left="0.39370078740157483" right="0.39370078740157483" top="0.39370078740157483" bottom="0.59055118110236227" header="0.39370078740157483" footer="0.39370078740157483"/>
  <pageSetup paperSize="258" scale="75" orientation="landscape" r:id="rId1"/>
  <headerFooter>
    <oddFooter>&amp;L&amp;F&amp;C&amp;A&amp;R&amp;P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zoomScaleNormal="100" workbookViewId="0">
      <selection activeCell="K9" sqref="K9:T9"/>
    </sheetView>
  </sheetViews>
  <sheetFormatPr baseColWidth="10" defaultColWidth="11.42578125" defaultRowHeight="12.75" x14ac:dyDescent="0.25"/>
  <cols>
    <col min="1" max="1" width="5.85546875" style="1" customWidth="1"/>
    <col min="2" max="2" width="12.7109375" style="1" customWidth="1"/>
    <col min="3" max="3" width="11.7109375" style="1" customWidth="1"/>
    <col min="4" max="4" width="10.7109375" style="1" customWidth="1"/>
    <col min="5" max="7" width="3.7109375" style="1" customWidth="1"/>
    <col min="8" max="8" width="11.7109375" style="1" customWidth="1"/>
    <col min="9" max="19" width="10.7109375" style="1" customWidth="1"/>
    <col min="20" max="20" width="9.7109375" style="1" customWidth="1"/>
    <col min="21" max="21" width="11.7109375" style="1" customWidth="1"/>
    <col min="22" max="22" width="3.7109375" style="1" customWidth="1"/>
    <col min="23" max="23" width="11.5703125" style="1" bestFit="1" customWidth="1"/>
    <col min="24" max="16384" width="11.42578125" style="1"/>
  </cols>
  <sheetData>
    <row r="1" spans="1:22" ht="13.15" x14ac:dyDescent="0.3">
      <c r="A1" s="124" t="s">
        <v>27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</row>
    <row r="2" spans="1:22" ht="13.15" x14ac:dyDescent="0.3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22" ht="13.15" x14ac:dyDescent="0.3">
      <c r="A3" s="124" t="s">
        <v>28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</row>
    <row r="5" spans="1:22" ht="13.9" thickBot="1" x14ac:dyDescent="0.35">
      <c r="A5" s="124" t="s">
        <v>1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</row>
    <row r="6" spans="1:22" x14ac:dyDescent="0.25">
      <c r="A6" s="125" t="s">
        <v>2</v>
      </c>
      <c r="B6" s="127" t="s">
        <v>3</v>
      </c>
      <c r="C6" s="120" t="s">
        <v>4</v>
      </c>
      <c r="D6" s="125" t="s">
        <v>5</v>
      </c>
      <c r="E6" s="129"/>
      <c r="F6" s="129"/>
      <c r="G6" s="130"/>
      <c r="H6" s="120" t="s">
        <v>8</v>
      </c>
      <c r="I6" s="133" t="s">
        <v>9</v>
      </c>
      <c r="J6" s="122" t="s">
        <v>10</v>
      </c>
      <c r="K6" s="122" t="s">
        <v>11</v>
      </c>
      <c r="L6" s="122" t="s">
        <v>12</v>
      </c>
      <c r="M6" s="122" t="s">
        <v>13</v>
      </c>
      <c r="N6" s="122" t="s">
        <v>14</v>
      </c>
      <c r="O6" s="122" t="s">
        <v>15</v>
      </c>
      <c r="P6" s="122" t="s">
        <v>16</v>
      </c>
      <c r="Q6" s="122" t="s">
        <v>17</v>
      </c>
      <c r="R6" s="122" t="s">
        <v>18</v>
      </c>
      <c r="S6" s="122" t="s">
        <v>19</v>
      </c>
      <c r="T6" s="150" t="s">
        <v>20</v>
      </c>
      <c r="U6" s="120" t="s">
        <v>21</v>
      </c>
      <c r="V6" s="120" t="s">
        <v>22</v>
      </c>
    </row>
    <row r="7" spans="1:22" ht="13.5" thickBot="1" x14ac:dyDescent="0.3">
      <c r="A7" s="126"/>
      <c r="B7" s="128"/>
      <c r="C7" s="121"/>
      <c r="D7" s="126" t="s">
        <v>6</v>
      </c>
      <c r="E7" s="131"/>
      <c r="F7" s="131" t="s">
        <v>7</v>
      </c>
      <c r="G7" s="132"/>
      <c r="H7" s="121"/>
      <c r="I7" s="134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51"/>
      <c r="U7" s="121"/>
      <c r="V7" s="121"/>
    </row>
    <row r="8" spans="1:22" ht="118.9" x14ac:dyDescent="0.3">
      <c r="A8" s="2" t="s">
        <v>29</v>
      </c>
      <c r="B8" s="3" t="s">
        <v>30</v>
      </c>
      <c r="C8" s="11">
        <v>3000000</v>
      </c>
      <c r="D8" s="147"/>
      <c r="E8" s="142"/>
      <c r="F8" s="142"/>
      <c r="G8" s="143"/>
      <c r="H8" s="27">
        <f>C8+D8-F8</f>
        <v>3000000</v>
      </c>
      <c r="I8" s="47"/>
      <c r="J8" s="58">
        <v>0</v>
      </c>
      <c r="K8" s="29">
        <f>3000000/9</f>
        <v>333333.33333333331</v>
      </c>
      <c r="L8" s="29">
        <f t="shared" ref="L8:S8" si="0">3000000/9</f>
        <v>333333.33333333331</v>
      </c>
      <c r="M8" s="29">
        <f t="shared" si="0"/>
        <v>333333.33333333331</v>
      </c>
      <c r="N8" s="29">
        <f t="shared" si="0"/>
        <v>333333.33333333331</v>
      </c>
      <c r="O8" s="29">
        <f t="shared" si="0"/>
        <v>333333.33333333331</v>
      </c>
      <c r="P8" s="29">
        <f t="shared" si="0"/>
        <v>333333.33333333331</v>
      </c>
      <c r="Q8" s="29">
        <f t="shared" si="0"/>
        <v>333333.33333333331</v>
      </c>
      <c r="R8" s="29">
        <f t="shared" si="0"/>
        <v>333333.33333333331</v>
      </c>
      <c r="S8" s="29">
        <f t="shared" si="0"/>
        <v>333333.33333333331</v>
      </c>
      <c r="T8" s="41"/>
      <c r="U8" s="11">
        <f>SUM(I8:T8)</f>
        <v>3000000</v>
      </c>
      <c r="V8" s="11">
        <f>H8-U8</f>
        <v>0</v>
      </c>
    </row>
    <row r="9" spans="1:22" ht="52.9" x14ac:dyDescent="0.3">
      <c r="A9" s="4" t="s">
        <v>31</v>
      </c>
      <c r="B9" s="5" t="s">
        <v>32</v>
      </c>
      <c r="C9" s="15">
        <v>3300000</v>
      </c>
      <c r="D9" s="148"/>
      <c r="E9" s="144"/>
      <c r="F9" s="144"/>
      <c r="G9" s="145"/>
      <c r="H9" s="32">
        <f t="shared" ref="H9:H16" si="1">C9+D9-F9</f>
        <v>3300000</v>
      </c>
      <c r="I9" s="48">
        <v>407000</v>
      </c>
      <c r="J9" s="59">
        <v>204500</v>
      </c>
      <c r="K9" s="17">
        <f>2688500/10</f>
        <v>268850</v>
      </c>
      <c r="L9" s="17">
        <f t="shared" ref="L9:T9" si="2">2688500/10</f>
        <v>268850</v>
      </c>
      <c r="M9" s="17">
        <f t="shared" si="2"/>
        <v>268850</v>
      </c>
      <c r="N9" s="17">
        <f t="shared" si="2"/>
        <v>268850</v>
      </c>
      <c r="O9" s="17">
        <f t="shared" si="2"/>
        <v>268850</v>
      </c>
      <c r="P9" s="17">
        <f t="shared" si="2"/>
        <v>268850</v>
      </c>
      <c r="Q9" s="17">
        <f t="shared" si="2"/>
        <v>268850</v>
      </c>
      <c r="R9" s="17">
        <f t="shared" si="2"/>
        <v>268850</v>
      </c>
      <c r="S9" s="17">
        <f t="shared" si="2"/>
        <v>268850</v>
      </c>
      <c r="T9" s="17">
        <f t="shared" si="2"/>
        <v>268850</v>
      </c>
      <c r="U9" s="15">
        <f t="shared" ref="U9:U16" si="3">SUM(I9:T9)</f>
        <v>3300000</v>
      </c>
      <c r="V9" s="15">
        <f t="shared" ref="V9:V16" si="4">H9-U9</f>
        <v>0</v>
      </c>
    </row>
    <row r="10" spans="1:22" ht="52.9" x14ac:dyDescent="0.3">
      <c r="A10" s="4" t="s">
        <v>33</v>
      </c>
      <c r="B10" s="5" t="s">
        <v>34</v>
      </c>
      <c r="C10" s="15">
        <v>78000000</v>
      </c>
      <c r="D10" s="148"/>
      <c r="E10" s="144"/>
      <c r="F10" s="144"/>
      <c r="G10" s="145"/>
      <c r="H10" s="32">
        <f t="shared" si="1"/>
        <v>78000000</v>
      </c>
      <c r="I10" s="48"/>
      <c r="J10" s="59">
        <v>62478528</v>
      </c>
      <c r="K10" s="17">
        <v>15521472</v>
      </c>
      <c r="L10" s="17"/>
      <c r="M10" s="17"/>
      <c r="N10" s="17"/>
      <c r="O10" s="17"/>
      <c r="P10" s="17"/>
      <c r="Q10" s="17"/>
      <c r="R10" s="17"/>
      <c r="S10" s="17"/>
      <c r="T10" s="43"/>
      <c r="U10" s="15">
        <f t="shared" si="3"/>
        <v>78000000</v>
      </c>
      <c r="V10" s="15">
        <f t="shared" si="4"/>
        <v>0</v>
      </c>
    </row>
    <row r="11" spans="1:22" ht="39.6" x14ac:dyDescent="0.3">
      <c r="A11" s="4" t="s">
        <v>35</v>
      </c>
      <c r="B11" s="5" t="s">
        <v>36</v>
      </c>
      <c r="C11" s="15">
        <v>28000000</v>
      </c>
      <c r="D11" s="148"/>
      <c r="E11" s="144"/>
      <c r="F11" s="144"/>
      <c r="G11" s="145"/>
      <c r="H11" s="32">
        <f t="shared" si="1"/>
        <v>28000000</v>
      </c>
      <c r="I11" s="48"/>
      <c r="J11" s="59"/>
      <c r="K11" s="17"/>
      <c r="L11" s="17"/>
      <c r="M11" s="17"/>
      <c r="N11" s="17"/>
      <c r="O11" s="17">
        <v>28000000</v>
      </c>
      <c r="P11" s="17"/>
      <c r="Q11" s="17"/>
      <c r="R11" s="17"/>
      <c r="S11" s="17"/>
      <c r="T11" s="43"/>
      <c r="U11" s="15">
        <f t="shared" si="3"/>
        <v>28000000</v>
      </c>
      <c r="V11" s="15">
        <f t="shared" si="4"/>
        <v>0</v>
      </c>
    </row>
    <row r="12" spans="1:22" ht="25.5" x14ac:dyDescent="0.25">
      <c r="A12" s="4" t="s">
        <v>37</v>
      </c>
      <c r="B12" s="5" t="s">
        <v>38</v>
      </c>
      <c r="C12" s="15">
        <v>200000</v>
      </c>
      <c r="D12" s="148"/>
      <c r="E12" s="144"/>
      <c r="F12" s="144"/>
      <c r="G12" s="145"/>
      <c r="H12" s="32">
        <f t="shared" si="1"/>
        <v>200000</v>
      </c>
      <c r="I12" s="48">
        <v>1100</v>
      </c>
      <c r="J12" s="59">
        <v>1787</v>
      </c>
      <c r="K12" s="17">
        <f>197113/10</f>
        <v>19711.3</v>
      </c>
      <c r="L12" s="17">
        <f t="shared" ref="L12:T12" si="5">197113/10</f>
        <v>19711.3</v>
      </c>
      <c r="M12" s="17">
        <f t="shared" si="5"/>
        <v>19711.3</v>
      </c>
      <c r="N12" s="17">
        <f t="shared" si="5"/>
        <v>19711.3</v>
      </c>
      <c r="O12" s="17">
        <f t="shared" si="5"/>
        <v>19711.3</v>
      </c>
      <c r="P12" s="17">
        <f t="shared" si="5"/>
        <v>19711.3</v>
      </c>
      <c r="Q12" s="17">
        <f t="shared" si="5"/>
        <v>19711.3</v>
      </c>
      <c r="R12" s="17">
        <f t="shared" si="5"/>
        <v>19711.3</v>
      </c>
      <c r="S12" s="17">
        <f t="shared" si="5"/>
        <v>19711.3</v>
      </c>
      <c r="T12" s="17">
        <f t="shared" si="5"/>
        <v>19711.3</v>
      </c>
      <c r="U12" s="15">
        <f t="shared" si="3"/>
        <v>199999.99999999997</v>
      </c>
      <c r="V12" s="15">
        <f t="shared" si="4"/>
        <v>0</v>
      </c>
    </row>
    <row r="13" spans="1:22" ht="25.5" x14ac:dyDescent="0.25">
      <c r="A13" s="6" t="s">
        <v>39</v>
      </c>
      <c r="B13" s="7" t="s">
        <v>40</v>
      </c>
      <c r="C13" s="19">
        <v>1000</v>
      </c>
      <c r="D13" s="148">
        <v>1075935</v>
      </c>
      <c r="E13" s="144"/>
      <c r="F13" s="144"/>
      <c r="G13" s="145"/>
      <c r="H13" s="32">
        <f t="shared" si="1"/>
        <v>1076935</v>
      </c>
      <c r="I13" s="49">
        <v>1075935</v>
      </c>
      <c r="J13" s="60"/>
      <c r="K13" s="21">
        <v>1000</v>
      </c>
      <c r="L13" s="21"/>
      <c r="M13" s="21"/>
      <c r="N13" s="21"/>
      <c r="O13" s="21"/>
      <c r="P13" s="21"/>
      <c r="Q13" s="21"/>
      <c r="R13" s="21"/>
      <c r="S13" s="21"/>
      <c r="T13" s="46"/>
      <c r="U13" s="15">
        <f t="shared" si="3"/>
        <v>1076935</v>
      </c>
      <c r="V13" s="15">
        <f t="shared" si="4"/>
        <v>0</v>
      </c>
    </row>
    <row r="14" spans="1:22" ht="25.5" x14ac:dyDescent="0.25">
      <c r="A14" s="6" t="s">
        <v>41</v>
      </c>
      <c r="B14" s="7" t="s">
        <v>42</v>
      </c>
      <c r="C14" s="19">
        <v>1000</v>
      </c>
      <c r="D14" s="148">
        <v>30546317</v>
      </c>
      <c r="E14" s="144"/>
      <c r="F14" s="144"/>
      <c r="G14" s="145"/>
      <c r="H14" s="32">
        <f t="shared" si="1"/>
        <v>30547317</v>
      </c>
      <c r="I14" s="49">
        <v>30546317</v>
      </c>
      <c r="J14" s="60"/>
      <c r="K14" s="21">
        <v>1000</v>
      </c>
      <c r="L14" s="21"/>
      <c r="M14" s="21"/>
      <c r="N14" s="21"/>
      <c r="O14" s="21"/>
      <c r="P14" s="21"/>
      <c r="Q14" s="21"/>
      <c r="R14" s="21"/>
      <c r="S14" s="21"/>
      <c r="T14" s="46"/>
      <c r="U14" s="15">
        <f t="shared" si="3"/>
        <v>30547317</v>
      </c>
      <c r="V14" s="15">
        <f t="shared" si="4"/>
        <v>0</v>
      </c>
    </row>
    <row r="15" spans="1:22" ht="25.5" x14ac:dyDescent="0.25">
      <c r="A15" s="6" t="s">
        <v>43</v>
      </c>
      <c r="B15" s="7" t="s">
        <v>44</v>
      </c>
      <c r="C15" s="19">
        <v>1000</v>
      </c>
      <c r="D15" s="148">
        <v>19939560</v>
      </c>
      <c r="E15" s="144"/>
      <c r="F15" s="144"/>
      <c r="G15" s="145"/>
      <c r="H15" s="32">
        <f t="shared" si="1"/>
        <v>19940560</v>
      </c>
      <c r="I15" s="49">
        <v>19939560</v>
      </c>
      <c r="J15" s="60"/>
      <c r="K15" s="21">
        <v>1000</v>
      </c>
      <c r="L15" s="21"/>
      <c r="M15" s="21"/>
      <c r="N15" s="21"/>
      <c r="O15" s="21"/>
      <c r="P15" s="21"/>
      <c r="Q15" s="21"/>
      <c r="R15" s="21"/>
      <c r="S15" s="21"/>
      <c r="T15" s="46"/>
      <c r="U15" s="15">
        <f t="shared" si="3"/>
        <v>19940560</v>
      </c>
      <c r="V15" s="15">
        <f t="shared" si="4"/>
        <v>0</v>
      </c>
    </row>
    <row r="16" spans="1:22" ht="13.5" thickBot="1" x14ac:dyDescent="0.3">
      <c r="A16" s="6"/>
      <c r="B16" s="7"/>
      <c r="C16" s="19"/>
      <c r="D16" s="138"/>
      <c r="E16" s="139"/>
      <c r="F16" s="139"/>
      <c r="G16" s="146"/>
      <c r="H16" s="32">
        <f t="shared" si="1"/>
        <v>0</v>
      </c>
      <c r="I16" s="50"/>
      <c r="J16" s="61"/>
      <c r="K16" s="35"/>
      <c r="L16" s="35"/>
      <c r="M16" s="35"/>
      <c r="N16" s="35"/>
      <c r="O16" s="35"/>
      <c r="P16" s="35"/>
      <c r="Q16" s="35"/>
      <c r="R16" s="35"/>
      <c r="S16" s="35"/>
      <c r="T16" s="44"/>
      <c r="U16" s="15">
        <f t="shared" si="3"/>
        <v>0</v>
      </c>
      <c r="V16" s="15">
        <f t="shared" si="4"/>
        <v>0</v>
      </c>
    </row>
    <row r="17" spans="1:22" ht="13.5" thickBot="1" x14ac:dyDescent="0.3">
      <c r="A17" s="135" t="s">
        <v>26</v>
      </c>
      <c r="B17" s="136"/>
      <c r="C17" s="23">
        <f>SUM(C8:C16)</f>
        <v>112503000</v>
      </c>
      <c r="D17" s="140">
        <f>SUM(D8:E16)</f>
        <v>51561812</v>
      </c>
      <c r="E17" s="141"/>
      <c r="F17" s="140">
        <f>SUM(F8:G16)</f>
        <v>0</v>
      </c>
      <c r="G17" s="141"/>
      <c r="H17" s="23">
        <f t="shared" ref="H17:V17" si="6">SUM(H8:H16)</f>
        <v>164064812</v>
      </c>
      <c r="I17" s="37">
        <f t="shared" si="6"/>
        <v>51969912</v>
      </c>
      <c r="J17" s="38">
        <f t="shared" si="6"/>
        <v>62684815</v>
      </c>
      <c r="K17" s="38">
        <f t="shared" si="6"/>
        <v>16146366.633333335</v>
      </c>
      <c r="L17" s="38">
        <f t="shared" si="6"/>
        <v>621894.6333333333</v>
      </c>
      <c r="M17" s="38">
        <f t="shared" si="6"/>
        <v>621894.6333333333</v>
      </c>
      <c r="N17" s="38">
        <f t="shared" si="6"/>
        <v>621894.6333333333</v>
      </c>
      <c r="O17" s="38">
        <f t="shared" si="6"/>
        <v>28621894.633333333</v>
      </c>
      <c r="P17" s="38">
        <f t="shared" si="6"/>
        <v>621894.6333333333</v>
      </c>
      <c r="Q17" s="38">
        <f t="shared" si="6"/>
        <v>621894.6333333333</v>
      </c>
      <c r="R17" s="38">
        <f t="shared" si="6"/>
        <v>621894.6333333333</v>
      </c>
      <c r="S17" s="38">
        <f t="shared" si="6"/>
        <v>621894.6333333333</v>
      </c>
      <c r="T17" s="51">
        <f t="shared" si="6"/>
        <v>288561.3</v>
      </c>
      <c r="U17" s="23">
        <f t="shared" si="6"/>
        <v>164064812</v>
      </c>
      <c r="V17" s="23">
        <f t="shared" si="6"/>
        <v>0</v>
      </c>
    </row>
    <row r="19" spans="1:22" ht="13.5" thickBot="1" x14ac:dyDescent="0.3">
      <c r="A19" s="124" t="s">
        <v>23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</row>
    <row r="20" spans="1:22" x14ac:dyDescent="0.25">
      <c r="A20" s="133" t="s">
        <v>2</v>
      </c>
      <c r="B20" s="127" t="s">
        <v>3</v>
      </c>
      <c r="C20" s="120" t="s">
        <v>4</v>
      </c>
      <c r="D20" s="125" t="s">
        <v>5</v>
      </c>
      <c r="E20" s="129"/>
      <c r="F20" s="129"/>
      <c r="G20" s="130"/>
      <c r="H20" s="120" t="s">
        <v>8</v>
      </c>
      <c r="I20" s="133" t="s">
        <v>9</v>
      </c>
      <c r="J20" s="122" t="s">
        <v>10</v>
      </c>
      <c r="K20" s="122" t="s">
        <v>11</v>
      </c>
      <c r="L20" s="122" t="s">
        <v>12</v>
      </c>
      <c r="M20" s="122" t="s">
        <v>13</v>
      </c>
      <c r="N20" s="122" t="s">
        <v>14</v>
      </c>
      <c r="O20" s="122" t="s">
        <v>15</v>
      </c>
      <c r="P20" s="122" t="s">
        <v>16</v>
      </c>
      <c r="Q20" s="122" t="s">
        <v>17</v>
      </c>
      <c r="R20" s="122" t="s">
        <v>18</v>
      </c>
      <c r="S20" s="122" t="s">
        <v>19</v>
      </c>
      <c r="T20" s="127" t="s">
        <v>20</v>
      </c>
      <c r="U20" s="152" t="s">
        <v>21</v>
      </c>
      <c r="V20" s="120" t="s">
        <v>22</v>
      </c>
    </row>
    <row r="21" spans="1:22" ht="25.5" customHeight="1" thickBot="1" x14ac:dyDescent="0.3">
      <c r="A21" s="149"/>
      <c r="B21" s="128"/>
      <c r="C21" s="121"/>
      <c r="D21" s="8" t="s">
        <v>6</v>
      </c>
      <c r="E21" s="9" t="s">
        <v>7</v>
      </c>
      <c r="F21" s="9" t="s">
        <v>24</v>
      </c>
      <c r="G21" s="10" t="s">
        <v>25</v>
      </c>
      <c r="H21" s="121"/>
      <c r="I21" s="134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37"/>
      <c r="U21" s="153"/>
      <c r="V21" s="121"/>
    </row>
    <row r="22" spans="1:22" ht="63.75" x14ac:dyDescent="0.25">
      <c r="A22" s="2" t="s">
        <v>75</v>
      </c>
      <c r="B22" s="3" t="s">
        <v>76</v>
      </c>
      <c r="C22" s="11">
        <v>0</v>
      </c>
      <c r="D22" s="12">
        <v>19939560</v>
      </c>
      <c r="E22" s="13"/>
      <c r="F22" s="13"/>
      <c r="G22" s="14"/>
      <c r="H22" s="27">
        <f>C22+D22-E22+F22-G22</f>
        <v>19939560</v>
      </c>
      <c r="I22" s="47"/>
      <c r="J22" s="58"/>
      <c r="K22" s="29">
        <f>19939560/9</f>
        <v>2215506.6666666665</v>
      </c>
      <c r="L22" s="29">
        <f t="shared" ref="L22:S22" si="7">19939560/9</f>
        <v>2215506.6666666665</v>
      </c>
      <c r="M22" s="29">
        <f t="shared" si="7"/>
        <v>2215506.6666666665</v>
      </c>
      <c r="N22" s="29">
        <f t="shared" si="7"/>
        <v>2215506.6666666665</v>
      </c>
      <c r="O22" s="29">
        <f t="shared" si="7"/>
        <v>2215506.6666666665</v>
      </c>
      <c r="P22" s="29">
        <f t="shared" si="7"/>
        <v>2215506.6666666665</v>
      </c>
      <c r="Q22" s="29">
        <f t="shared" si="7"/>
        <v>2215506.6666666665</v>
      </c>
      <c r="R22" s="29">
        <f t="shared" si="7"/>
        <v>2215506.6666666665</v>
      </c>
      <c r="S22" s="29">
        <f t="shared" si="7"/>
        <v>2215506.6666666665</v>
      </c>
      <c r="T22" s="41"/>
      <c r="U22" s="52">
        <f>SUM(I22:T22)</f>
        <v>19939560</v>
      </c>
      <c r="V22" s="11">
        <f>H22-U22</f>
        <v>0</v>
      </c>
    </row>
    <row r="23" spans="1:22" ht="51" x14ac:dyDescent="0.25">
      <c r="A23" s="2" t="s">
        <v>45</v>
      </c>
      <c r="B23" s="3" t="s">
        <v>46</v>
      </c>
      <c r="C23" s="11">
        <v>18500000</v>
      </c>
      <c r="D23" s="12"/>
      <c r="E23" s="13"/>
      <c r="F23" s="13"/>
      <c r="G23" s="14"/>
      <c r="H23" s="27">
        <f t="shared" ref="H23:H40" si="8">C23+D23-E23+F23-G23</f>
        <v>18500000</v>
      </c>
      <c r="I23" s="53"/>
      <c r="J23" s="62"/>
      <c r="K23" s="13"/>
      <c r="L23" s="13"/>
      <c r="M23" s="13"/>
      <c r="N23" s="13"/>
      <c r="O23" s="13">
        <f>18500000/5</f>
        <v>3700000</v>
      </c>
      <c r="P23" s="13">
        <f t="shared" ref="P23:S23" si="9">18500000/5</f>
        <v>3700000</v>
      </c>
      <c r="Q23" s="13">
        <f t="shared" si="9"/>
        <v>3700000</v>
      </c>
      <c r="R23" s="13">
        <f t="shared" si="9"/>
        <v>3700000</v>
      </c>
      <c r="S23" s="13">
        <f t="shared" si="9"/>
        <v>3700000</v>
      </c>
      <c r="T23" s="54"/>
      <c r="U23" s="55">
        <f t="shared" ref="U23:U40" si="10">SUM(I23:T23)</f>
        <v>18500000</v>
      </c>
      <c r="V23" s="11">
        <f t="shared" ref="V23:V40" si="11">H23-U23</f>
        <v>0</v>
      </c>
    </row>
    <row r="24" spans="1:22" ht="63.75" x14ac:dyDescent="0.25">
      <c r="A24" s="2" t="s">
        <v>77</v>
      </c>
      <c r="B24" s="3" t="s">
        <v>78</v>
      </c>
      <c r="C24" s="11">
        <v>0</v>
      </c>
      <c r="D24" s="12">
        <v>16000000</v>
      </c>
      <c r="E24" s="13"/>
      <c r="F24" s="13"/>
      <c r="G24" s="14"/>
      <c r="H24" s="27">
        <f t="shared" si="8"/>
        <v>16000000</v>
      </c>
      <c r="I24" s="53"/>
      <c r="J24" s="62"/>
      <c r="K24" s="13">
        <f>16000000/9</f>
        <v>1777777.7777777778</v>
      </c>
      <c r="L24" s="13">
        <f t="shared" ref="L24:S24" si="12">16000000/9</f>
        <v>1777777.7777777778</v>
      </c>
      <c r="M24" s="13">
        <f t="shared" si="12"/>
        <v>1777777.7777777778</v>
      </c>
      <c r="N24" s="13">
        <f t="shared" si="12"/>
        <v>1777777.7777777778</v>
      </c>
      <c r="O24" s="13">
        <f t="shared" si="12"/>
        <v>1777777.7777777778</v>
      </c>
      <c r="P24" s="13">
        <f t="shared" si="12"/>
        <v>1777777.7777777778</v>
      </c>
      <c r="Q24" s="13">
        <f t="shared" si="12"/>
        <v>1777777.7777777778</v>
      </c>
      <c r="R24" s="13">
        <f t="shared" si="12"/>
        <v>1777777.7777777778</v>
      </c>
      <c r="S24" s="13">
        <f t="shared" si="12"/>
        <v>1777777.7777777778</v>
      </c>
      <c r="T24" s="54"/>
      <c r="U24" s="55">
        <f t="shared" si="10"/>
        <v>16000000</v>
      </c>
      <c r="V24" s="11">
        <f t="shared" si="11"/>
        <v>0</v>
      </c>
    </row>
    <row r="25" spans="1:22" ht="38.25" x14ac:dyDescent="0.25">
      <c r="A25" s="2" t="s">
        <v>47</v>
      </c>
      <c r="B25" s="3" t="s">
        <v>48</v>
      </c>
      <c r="C25" s="11">
        <v>14000000</v>
      </c>
      <c r="D25" s="12"/>
      <c r="E25" s="13"/>
      <c r="F25" s="13"/>
      <c r="G25" s="14"/>
      <c r="H25" s="27">
        <f t="shared" si="8"/>
        <v>14000000</v>
      </c>
      <c r="I25" s="48"/>
      <c r="J25" s="59"/>
      <c r="K25" s="17">
        <f>14000000/9</f>
        <v>1555555.5555555555</v>
      </c>
      <c r="L25" s="17">
        <f t="shared" ref="L25:S25" si="13">14000000/9</f>
        <v>1555555.5555555555</v>
      </c>
      <c r="M25" s="17">
        <f t="shared" si="13"/>
        <v>1555555.5555555555</v>
      </c>
      <c r="N25" s="17">
        <f t="shared" si="13"/>
        <v>1555555.5555555555</v>
      </c>
      <c r="O25" s="17">
        <f t="shared" si="13"/>
        <v>1555555.5555555555</v>
      </c>
      <c r="P25" s="17">
        <f t="shared" si="13"/>
        <v>1555555.5555555555</v>
      </c>
      <c r="Q25" s="17">
        <f t="shared" si="13"/>
        <v>1555555.5555555555</v>
      </c>
      <c r="R25" s="17">
        <f t="shared" si="13"/>
        <v>1555555.5555555555</v>
      </c>
      <c r="S25" s="17">
        <f t="shared" si="13"/>
        <v>1555555.5555555555</v>
      </c>
      <c r="T25" s="43"/>
      <c r="U25" s="55">
        <f t="shared" si="10"/>
        <v>14000000.000000002</v>
      </c>
      <c r="V25" s="11">
        <f t="shared" si="11"/>
        <v>0</v>
      </c>
    </row>
    <row r="26" spans="1:22" ht="51" x14ac:dyDescent="0.25">
      <c r="A26" s="2" t="s">
        <v>49</v>
      </c>
      <c r="B26" s="3" t="s">
        <v>50</v>
      </c>
      <c r="C26" s="11">
        <v>1000</v>
      </c>
      <c r="D26" s="12"/>
      <c r="E26" s="13"/>
      <c r="F26" s="13"/>
      <c r="G26" s="14"/>
      <c r="H26" s="27">
        <f t="shared" si="8"/>
        <v>1000</v>
      </c>
      <c r="I26" s="48"/>
      <c r="J26" s="59"/>
      <c r="K26" s="17">
        <f>1000/9</f>
        <v>111.11111111111111</v>
      </c>
      <c r="L26" s="17">
        <f t="shared" ref="L26:S26" si="14">1000/9</f>
        <v>111.11111111111111</v>
      </c>
      <c r="M26" s="17">
        <f t="shared" si="14"/>
        <v>111.11111111111111</v>
      </c>
      <c r="N26" s="17">
        <f t="shared" si="14"/>
        <v>111.11111111111111</v>
      </c>
      <c r="O26" s="17">
        <f t="shared" si="14"/>
        <v>111.11111111111111</v>
      </c>
      <c r="P26" s="17">
        <f t="shared" si="14"/>
        <v>111.11111111111111</v>
      </c>
      <c r="Q26" s="17">
        <f t="shared" si="14"/>
        <v>111.11111111111111</v>
      </c>
      <c r="R26" s="17">
        <f t="shared" si="14"/>
        <v>111.11111111111111</v>
      </c>
      <c r="S26" s="17">
        <f t="shared" si="14"/>
        <v>111.11111111111111</v>
      </c>
      <c r="T26" s="43"/>
      <c r="U26" s="55">
        <f t="shared" si="10"/>
        <v>999.99999999999989</v>
      </c>
      <c r="V26" s="11">
        <f t="shared" si="11"/>
        <v>0</v>
      </c>
    </row>
    <row r="27" spans="1:22" ht="38.25" x14ac:dyDescent="0.25">
      <c r="A27" s="2" t="s">
        <v>51</v>
      </c>
      <c r="B27" s="3" t="s">
        <v>52</v>
      </c>
      <c r="C27" s="11">
        <v>20000000</v>
      </c>
      <c r="D27" s="12"/>
      <c r="E27" s="13"/>
      <c r="F27" s="13"/>
      <c r="G27" s="14"/>
      <c r="H27" s="27">
        <f t="shared" si="8"/>
        <v>20000000</v>
      </c>
      <c r="I27" s="48"/>
      <c r="J27" s="59"/>
      <c r="K27" s="17">
        <f>20000000/9</f>
        <v>2222222.222222222</v>
      </c>
      <c r="L27" s="17">
        <f t="shared" ref="L27:S27" si="15">20000000/9</f>
        <v>2222222.222222222</v>
      </c>
      <c r="M27" s="17">
        <f t="shared" si="15"/>
        <v>2222222.222222222</v>
      </c>
      <c r="N27" s="17">
        <f t="shared" si="15"/>
        <v>2222222.222222222</v>
      </c>
      <c r="O27" s="17">
        <f t="shared" si="15"/>
        <v>2222222.222222222</v>
      </c>
      <c r="P27" s="17">
        <f t="shared" si="15"/>
        <v>2222222.222222222</v>
      </c>
      <c r="Q27" s="17">
        <f t="shared" si="15"/>
        <v>2222222.222222222</v>
      </c>
      <c r="R27" s="17">
        <f t="shared" si="15"/>
        <v>2222222.222222222</v>
      </c>
      <c r="S27" s="17">
        <f t="shared" si="15"/>
        <v>2222222.222222222</v>
      </c>
      <c r="T27" s="43"/>
      <c r="U27" s="55">
        <f t="shared" si="10"/>
        <v>20000000</v>
      </c>
      <c r="V27" s="11">
        <f t="shared" si="11"/>
        <v>0</v>
      </c>
    </row>
    <row r="28" spans="1:22" ht="38.25" x14ac:dyDescent="0.25">
      <c r="A28" s="2" t="s">
        <v>53</v>
      </c>
      <c r="B28" s="3" t="s">
        <v>54</v>
      </c>
      <c r="C28" s="11">
        <v>2300000</v>
      </c>
      <c r="D28" s="12"/>
      <c r="E28" s="13"/>
      <c r="F28" s="13"/>
      <c r="G28" s="14"/>
      <c r="H28" s="27">
        <f t="shared" si="8"/>
        <v>2300000</v>
      </c>
      <c r="I28" s="48"/>
      <c r="J28" s="59"/>
      <c r="K28" s="17"/>
      <c r="L28" s="17"/>
      <c r="M28" s="17"/>
      <c r="N28" s="17"/>
      <c r="O28" s="17">
        <f>2300000/5</f>
        <v>460000</v>
      </c>
      <c r="P28" s="17">
        <f t="shared" ref="P28:S28" si="16">2300000/5</f>
        <v>460000</v>
      </c>
      <c r="Q28" s="17">
        <f t="shared" si="16"/>
        <v>460000</v>
      </c>
      <c r="R28" s="17">
        <f t="shared" si="16"/>
        <v>460000</v>
      </c>
      <c r="S28" s="17">
        <f t="shared" si="16"/>
        <v>460000</v>
      </c>
      <c r="T28" s="43"/>
      <c r="U28" s="55">
        <f t="shared" si="10"/>
        <v>2300000</v>
      </c>
      <c r="V28" s="11">
        <f t="shared" si="11"/>
        <v>0</v>
      </c>
    </row>
    <row r="29" spans="1:22" ht="38.25" x14ac:dyDescent="0.25">
      <c r="A29" s="2" t="s">
        <v>55</v>
      </c>
      <c r="B29" s="3" t="s">
        <v>56</v>
      </c>
      <c r="C29" s="11">
        <v>200000</v>
      </c>
      <c r="D29" s="12"/>
      <c r="E29" s="13"/>
      <c r="F29" s="13"/>
      <c r="G29" s="14"/>
      <c r="H29" s="27">
        <f t="shared" si="8"/>
        <v>200000</v>
      </c>
      <c r="I29" s="48"/>
      <c r="J29" s="59"/>
      <c r="K29" s="17">
        <f>200000/9</f>
        <v>22222.222222222223</v>
      </c>
      <c r="L29" s="17">
        <f t="shared" ref="L29:S29" si="17">200000/9</f>
        <v>22222.222222222223</v>
      </c>
      <c r="M29" s="17">
        <f t="shared" si="17"/>
        <v>22222.222222222223</v>
      </c>
      <c r="N29" s="17">
        <f t="shared" si="17"/>
        <v>22222.222222222223</v>
      </c>
      <c r="O29" s="17">
        <f t="shared" si="17"/>
        <v>22222.222222222223</v>
      </c>
      <c r="P29" s="17">
        <f t="shared" si="17"/>
        <v>22222.222222222223</v>
      </c>
      <c r="Q29" s="17">
        <f t="shared" si="17"/>
        <v>22222.222222222223</v>
      </c>
      <c r="R29" s="17">
        <f t="shared" si="17"/>
        <v>22222.222222222223</v>
      </c>
      <c r="S29" s="17">
        <f t="shared" si="17"/>
        <v>22222.222222222223</v>
      </c>
      <c r="T29" s="43"/>
      <c r="U29" s="55">
        <f t="shared" si="10"/>
        <v>200000</v>
      </c>
      <c r="V29" s="11">
        <f t="shared" si="11"/>
        <v>0</v>
      </c>
    </row>
    <row r="30" spans="1:22" ht="51" x14ac:dyDescent="0.25">
      <c r="A30" s="2" t="s">
        <v>57</v>
      </c>
      <c r="B30" s="3" t="s">
        <v>58</v>
      </c>
      <c r="C30" s="11">
        <v>1500000</v>
      </c>
      <c r="D30" s="12"/>
      <c r="E30" s="13"/>
      <c r="F30" s="13"/>
      <c r="G30" s="14"/>
      <c r="H30" s="27">
        <f t="shared" si="8"/>
        <v>1500000</v>
      </c>
      <c r="I30" s="48">
        <v>146251</v>
      </c>
      <c r="J30" s="59">
        <v>114597</v>
      </c>
      <c r="K30" s="17">
        <f>1239152/10</f>
        <v>123915.2</v>
      </c>
      <c r="L30" s="17">
        <f t="shared" ref="L30:T30" si="18">1239152/10</f>
        <v>123915.2</v>
      </c>
      <c r="M30" s="17">
        <f t="shared" si="18"/>
        <v>123915.2</v>
      </c>
      <c r="N30" s="17">
        <f t="shared" si="18"/>
        <v>123915.2</v>
      </c>
      <c r="O30" s="17">
        <f t="shared" si="18"/>
        <v>123915.2</v>
      </c>
      <c r="P30" s="17">
        <f t="shared" si="18"/>
        <v>123915.2</v>
      </c>
      <c r="Q30" s="17">
        <f t="shared" si="18"/>
        <v>123915.2</v>
      </c>
      <c r="R30" s="17">
        <f t="shared" si="18"/>
        <v>123915.2</v>
      </c>
      <c r="S30" s="17">
        <f t="shared" si="18"/>
        <v>123915.2</v>
      </c>
      <c r="T30" s="17">
        <f t="shared" si="18"/>
        <v>123915.2</v>
      </c>
      <c r="U30" s="55">
        <f t="shared" si="10"/>
        <v>1499999.9999999998</v>
      </c>
      <c r="V30" s="11">
        <f t="shared" si="11"/>
        <v>0</v>
      </c>
    </row>
    <row r="31" spans="1:22" ht="51" x14ac:dyDescent="0.25">
      <c r="A31" s="2" t="s">
        <v>79</v>
      </c>
      <c r="B31" s="3" t="s">
        <v>80</v>
      </c>
      <c r="C31" s="11">
        <v>0</v>
      </c>
      <c r="D31" s="12">
        <v>1075935</v>
      </c>
      <c r="E31" s="13"/>
      <c r="F31" s="13"/>
      <c r="G31" s="14"/>
      <c r="H31" s="27">
        <f t="shared" si="8"/>
        <v>1075935</v>
      </c>
      <c r="I31" s="48"/>
      <c r="J31" s="59"/>
      <c r="K31" s="17">
        <f>1075935/10</f>
        <v>107593.5</v>
      </c>
      <c r="L31" s="17">
        <f t="shared" ref="L31:T31" si="19">1075935/10</f>
        <v>107593.5</v>
      </c>
      <c r="M31" s="17">
        <f t="shared" si="19"/>
        <v>107593.5</v>
      </c>
      <c r="N31" s="17">
        <f t="shared" si="19"/>
        <v>107593.5</v>
      </c>
      <c r="O31" s="17">
        <f t="shared" si="19"/>
        <v>107593.5</v>
      </c>
      <c r="P31" s="17">
        <f t="shared" si="19"/>
        <v>107593.5</v>
      </c>
      <c r="Q31" s="17">
        <f t="shared" si="19"/>
        <v>107593.5</v>
      </c>
      <c r="R31" s="17">
        <f t="shared" si="19"/>
        <v>107593.5</v>
      </c>
      <c r="S31" s="17">
        <f t="shared" si="19"/>
        <v>107593.5</v>
      </c>
      <c r="T31" s="17">
        <f t="shared" si="19"/>
        <v>107593.5</v>
      </c>
      <c r="U31" s="55">
        <f t="shared" si="10"/>
        <v>1075935</v>
      </c>
      <c r="V31" s="11">
        <f t="shared" si="11"/>
        <v>0</v>
      </c>
    </row>
    <row r="32" spans="1:22" ht="51" x14ac:dyDescent="0.25">
      <c r="A32" s="2" t="s">
        <v>59</v>
      </c>
      <c r="B32" s="3" t="s">
        <v>60</v>
      </c>
      <c r="C32" s="11">
        <v>5000000</v>
      </c>
      <c r="D32" s="12"/>
      <c r="E32" s="13"/>
      <c r="F32" s="13"/>
      <c r="G32" s="14"/>
      <c r="H32" s="27">
        <f t="shared" si="8"/>
        <v>5000000</v>
      </c>
      <c r="I32" s="48"/>
      <c r="J32" s="59"/>
      <c r="K32" s="17">
        <f>5000000/9</f>
        <v>555555.5555555555</v>
      </c>
      <c r="L32" s="17">
        <f t="shared" ref="L32:S32" si="20">5000000/9</f>
        <v>555555.5555555555</v>
      </c>
      <c r="M32" s="17">
        <f t="shared" si="20"/>
        <v>555555.5555555555</v>
      </c>
      <c r="N32" s="17">
        <f t="shared" si="20"/>
        <v>555555.5555555555</v>
      </c>
      <c r="O32" s="17">
        <f t="shared" si="20"/>
        <v>555555.5555555555</v>
      </c>
      <c r="P32" s="17">
        <f t="shared" si="20"/>
        <v>555555.5555555555</v>
      </c>
      <c r="Q32" s="17">
        <f t="shared" si="20"/>
        <v>555555.5555555555</v>
      </c>
      <c r="R32" s="17">
        <f t="shared" si="20"/>
        <v>555555.5555555555</v>
      </c>
      <c r="S32" s="17">
        <f t="shared" si="20"/>
        <v>555555.5555555555</v>
      </c>
      <c r="T32" s="43"/>
      <c r="U32" s="55">
        <f t="shared" si="10"/>
        <v>5000000</v>
      </c>
      <c r="V32" s="11">
        <f t="shared" si="11"/>
        <v>0</v>
      </c>
    </row>
    <row r="33" spans="1:22" ht="51" x14ac:dyDescent="0.25">
      <c r="A33" s="2" t="s">
        <v>61</v>
      </c>
      <c r="B33" s="3" t="s">
        <v>62</v>
      </c>
      <c r="C33" s="11">
        <v>24000000</v>
      </c>
      <c r="D33" s="12"/>
      <c r="E33" s="13"/>
      <c r="F33" s="13"/>
      <c r="G33" s="14"/>
      <c r="H33" s="27">
        <f t="shared" si="8"/>
        <v>24000000</v>
      </c>
      <c r="I33" s="48"/>
      <c r="J33" s="59"/>
      <c r="K33" s="17">
        <f>24000000/9</f>
        <v>2666666.6666666665</v>
      </c>
      <c r="L33" s="17">
        <f t="shared" ref="L33:S33" si="21">24000000/9</f>
        <v>2666666.6666666665</v>
      </c>
      <c r="M33" s="17">
        <f t="shared" si="21"/>
        <v>2666666.6666666665</v>
      </c>
      <c r="N33" s="17">
        <f t="shared" si="21"/>
        <v>2666666.6666666665</v>
      </c>
      <c r="O33" s="17">
        <f t="shared" si="21"/>
        <v>2666666.6666666665</v>
      </c>
      <c r="P33" s="17">
        <f t="shared" si="21"/>
        <v>2666666.6666666665</v>
      </c>
      <c r="Q33" s="17">
        <f t="shared" si="21"/>
        <v>2666666.6666666665</v>
      </c>
      <c r="R33" s="17">
        <f t="shared" si="21"/>
        <v>2666666.6666666665</v>
      </c>
      <c r="S33" s="17">
        <f t="shared" si="21"/>
        <v>2666666.6666666665</v>
      </c>
      <c r="T33" s="43"/>
      <c r="U33" s="55">
        <f t="shared" si="10"/>
        <v>24000000</v>
      </c>
      <c r="V33" s="11">
        <f t="shared" si="11"/>
        <v>0</v>
      </c>
    </row>
    <row r="34" spans="1:22" ht="51" x14ac:dyDescent="0.25">
      <c r="A34" s="2" t="s">
        <v>81</v>
      </c>
      <c r="B34" s="3" t="s">
        <v>82</v>
      </c>
      <c r="C34" s="11">
        <v>0</v>
      </c>
      <c r="D34" s="12">
        <v>8000000</v>
      </c>
      <c r="E34" s="13"/>
      <c r="F34" s="13"/>
      <c r="G34" s="14"/>
      <c r="H34" s="27">
        <f t="shared" si="8"/>
        <v>8000000</v>
      </c>
      <c r="I34" s="48"/>
      <c r="J34" s="59"/>
      <c r="K34" s="17">
        <f>8000000/9</f>
        <v>888888.88888888888</v>
      </c>
      <c r="L34" s="17">
        <f t="shared" ref="L34:S34" si="22">8000000/9</f>
        <v>888888.88888888888</v>
      </c>
      <c r="M34" s="17">
        <f t="shared" si="22"/>
        <v>888888.88888888888</v>
      </c>
      <c r="N34" s="17">
        <f t="shared" si="22"/>
        <v>888888.88888888888</v>
      </c>
      <c r="O34" s="17">
        <f t="shared" si="22"/>
        <v>888888.88888888888</v>
      </c>
      <c r="P34" s="17">
        <f t="shared" si="22"/>
        <v>888888.88888888888</v>
      </c>
      <c r="Q34" s="17">
        <f t="shared" si="22"/>
        <v>888888.88888888888</v>
      </c>
      <c r="R34" s="17">
        <f t="shared" si="22"/>
        <v>888888.88888888888</v>
      </c>
      <c r="S34" s="17">
        <f t="shared" si="22"/>
        <v>888888.88888888888</v>
      </c>
      <c r="T34" s="43"/>
      <c r="U34" s="55">
        <f t="shared" si="10"/>
        <v>8000000</v>
      </c>
      <c r="V34" s="11">
        <f t="shared" si="11"/>
        <v>0</v>
      </c>
    </row>
    <row r="35" spans="1:22" ht="51" x14ac:dyDescent="0.25">
      <c r="A35" s="2" t="s">
        <v>63</v>
      </c>
      <c r="B35" s="3" t="s">
        <v>64</v>
      </c>
      <c r="C35" s="11">
        <v>7200000</v>
      </c>
      <c r="D35" s="12"/>
      <c r="E35" s="13"/>
      <c r="F35" s="13"/>
      <c r="G35" s="14"/>
      <c r="H35" s="27">
        <f t="shared" si="8"/>
        <v>7200000</v>
      </c>
      <c r="I35" s="48"/>
      <c r="J35" s="59"/>
      <c r="K35" s="17">
        <f>7200000/9</f>
        <v>800000</v>
      </c>
      <c r="L35" s="17">
        <f t="shared" ref="L35:S35" si="23">7200000/9</f>
        <v>800000</v>
      </c>
      <c r="M35" s="17">
        <f t="shared" si="23"/>
        <v>800000</v>
      </c>
      <c r="N35" s="17">
        <f t="shared" si="23"/>
        <v>800000</v>
      </c>
      <c r="O35" s="17">
        <f t="shared" si="23"/>
        <v>800000</v>
      </c>
      <c r="P35" s="17">
        <f t="shared" si="23"/>
        <v>800000</v>
      </c>
      <c r="Q35" s="17">
        <f t="shared" si="23"/>
        <v>800000</v>
      </c>
      <c r="R35" s="17">
        <f t="shared" si="23"/>
        <v>800000</v>
      </c>
      <c r="S35" s="17">
        <f t="shared" si="23"/>
        <v>800000</v>
      </c>
      <c r="T35" s="43"/>
      <c r="U35" s="55">
        <f t="shared" si="10"/>
        <v>7200000</v>
      </c>
      <c r="V35" s="11">
        <f t="shared" si="11"/>
        <v>0</v>
      </c>
    </row>
    <row r="36" spans="1:22" ht="51" x14ac:dyDescent="0.25">
      <c r="A36" s="2" t="s">
        <v>65</v>
      </c>
      <c r="B36" s="3" t="s">
        <v>66</v>
      </c>
      <c r="C36" s="11">
        <v>8500000</v>
      </c>
      <c r="D36" s="12"/>
      <c r="E36" s="13"/>
      <c r="F36" s="13"/>
      <c r="G36" s="14"/>
      <c r="H36" s="27">
        <f t="shared" si="8"/>
        <v>8500000</v>
      </c>
      <c r="I36" s="48"/>
      <c r="J36" s="59"/>
      <c r="K36" s="17">
        <f>8500000/9</f>
        <v>944444.4444444445</v>
      </c>
      <c r="L36" s="17">
        <f t="shared" ref="L36:S36" si="24">8500000/9</f>
        <v>944444.4444444445</v>
      </c>
      <c r="M36" s="17">
        <f t="shared" si="24"/>
        <v>944444.4444444445</v>
      </c>
      <c r="N36" s="17">
        <f t="shared" si="24"/>
        <v>944444.4444444445</v>
      </c>
      <c r="O36" s="17">
        <f t="shared" si="24"/>
        <v>944444.4444444445</v>
      </c>
      <c r="P36" s="17">
        <f t="shared" si="24"/>
        <v>944444.4444444445</v>
      </c>
      <c r="Q36" s="17">
        <f t="shared" si="24"/>
        <v>944444.4444444445</v>
      </c>
      <c r="R36" s="17">
        <f t="shared" si="24"/>
        <v>944444.4444444445</v>
      </c>
      <c r="S36" s="17">
        <f t="shared" si="24"/>
        <v>944444.4444444445</v>
      </c>
      <c r="T36" s="43"/>
      <c r="U36" s="55">
        <f t="shared" si="10"/>
        <v>8499999.9999999981</v>
      </c>
      <c r="V36" s="11">
        <f t="shared" si="11"/>
        <v>0</v>
      </c>
    </row>
    <row r="37" spans="1:22" ht="51" x14ac:dyDescent="0.25">
      <c r="A37" s="2" t="s">
        <v>67</v>
      </c>
      <c r="B37" s="3" t="s">
        <v>68</v>
      </c>
      <c r="C37" s="11">
        <v>4800000</v>
      </c>
      <c r="D37" s="12"/>
      <c r="E37" s="13"/>
      <c r="F37" s="13"/>
      <c r="G37" s="14"/>
      <c r="H37" s="27">
        <f t="shared" si="8"/>
        <v>4800000</v>
      </c>
      <c r="I37" s="48"/>
      <c r="J37" s="59"/>
      <c r="K37" s="17">
        <f>4800000/9</f>
        <v>533333.33333333337</v>
      </c>
      <c r="L37" s="17">
        <f t="shared" ref="L37:S37" si="25">4800000/9</f>
        <v>533333.33333333337</v>
      </c>
      <c r="M37" s="17">
        <f t="shared" si="25"/>
        <v>533333.33333333337</v>
      </c>
      <c r="N37" s="17">
        <f t="shared" si="25"/>
        <v>533333.33333333337</v>
      </c>
      <c r="O37" s="17">
        <f t="shared" si="25"/>
        <v>533333.33333333337</v>
      </c>
      <c r="P37" s="17">
        <f t="shared" si="25"/>
        <v>533333.33333333337</v>
      </c>
      <c r="Q37" s="17">
        <f t="shared" si="25"/>
        <v>533333.33333333337</v>
      </c>
      <c r="R37" s="17">
        <f t="shared" si="25"/>
        <v>533333.33333333337</v>
      </c>
      <c r="S37" s="17">
        <f t="shared" si="25"/>
        <v>533333.33333333337</v>
      </c>
      <c r="T37" s="43"/>
      <c r="U37" s="55">
        <f t="shared" si="10"/>
        <v>4800000</v>
      </c>
      <c r="V37" s="11">
        <f t="shared" si="11"/>
        <v>0</v>
      </c>
    </row>
    <row r="38" spans="1:22" ht="51" x14ac:dyDescent="0.25">
      <c r="A38" s="2" t="s">
        <v>69</v>
      </c>
      <c r="B38" s="3" t="s">
        <v>70</v>
      </c>
      <c r="C38" s="11">
        <v>6500000</v>
      </c>
      <c r="D38" s="12"/>
      <c r="E38" s="13"/>
      <c r="F38" s="13"/>
      <c r="G38" s="14"/>
      <c r="H38" s="27">
        <f t="shared" si="8"/>
        <v>6500000</v>
      </c>
      <c r="I38" s="48"/>
      <c r="J38" s="59"/>
      <c r="K38" s="17">
        <f>6500000/10</f>
        <v>650000</v>
      </c>
      <c r="L38" s="17">
        <f t="shared" ref="L38:T38" si="26">6500000/10</f>
        <v>650000</v>
      </c>
      <c r="M38" s="17">
        <f t="shared" si="26"/>
        <v>650000</v>
      </c>
      <c r="N38" s="17">
        <f t="shared" si="26"/>
        <v>650000</v>
      </c>
      <c r="O38" s="17">
        <f t="shared" si="26"/>
        <v>650000</v>
      </c>
      <c r="P38" s="17">
        <f t="shared" si="26"/>
        <v>650000</v>
      </c>
      <c r="Q38" s="17">
        <f t="shared" si="26"/>
        <v>650000</v>
      </c>
      <c r="R38" s="17">
        <f t="shared" si="26"/>
        <v>650000</v>
      </c>
      <c r="S38" s="17">
        <f t="shared" si="26"/>
        <v>650000</v>
      </c>
      <c r="T38" s="17">
        <f t="shared" si="26"/>
        <v>650000</v>
      </c>
      <c r="U38" s="55">
        <f t="shared" si="10"/>
        <v>6500000</v>
      </c>
      <c r="V38" s="11">
        <f t="shared" si="11"/>
        <v>0</v>
      </c>
    </row>
    <row r="39" spans="1:22" ht="51" x14ac:dyDescent="0.25">
      <c r="A39" s="2" t="s">
        <v>71</v>
      </c>
      <c r="B39" s="3" t="s">
        <v>72</v>
      </c>
      <c r="C39" s="11">
        <v>1000</v>
      </c>
      <c r="D39" s="12">
        <v>6546317</v>
      </c>
      <c r="E39" s="13"/>
      <c r="F39" s="13"/>
      <c r="G39" s="14"/>
      <c r="H39" s="27">
        <f t="shared" si="8"/>
        <v>6547317</v>
      </c>
      <c r="I39" s="48">
        <v>46945</v>
      </c>
      <c r="J39" s="59">
        <v>1308030</v>
      </c>
      <c r="K39" s="17">
        <f>5192342/10</f>
        <v>519234.2</v>
      </c>
      <c r="L39" s="17">
        <f t="shared" ref="L39:T39" si="27">5192342/10</f>
        <v>519234.2</v>
      </c>
      <c r="M39" s="17">
        <f t="shared" si="27"/>
        <v>519234.2</v>
      </c>
      <c r="N39" s="17">
        <f t="shared" si="27"/>
        <v>519234.2</v>
      </c>
      <c r="O39" s="17">
        <f t="shared" si="27"/>
        <v>519234.2</v>
      </c>
      <c r="P39" s="17">
        <f t="shared" si="27"/>
        <v>519234.2</v>
      </c>
      <c r="Q39" s="17">
        <f t="shared" si="27"/>
        <v>519234.2</v>
      </c>
      <c r="R39" s="17">
        <f t="shared" si="27"/>
        <v>519234.2</v>
      </c>
      <c r="S39" s="17">
        <f t="shared" si="27"/>
        <v>519234.2</v>
      </c>
      <c r="T39" s="17">
        <f t="shared" si="27"/>
        <v>519234.2</v>
      </c>
      <c r="U39" s="55">
        <f t="shared" si="10"/>
        <v>6547317.0000000009</v>
      </c>
      <c r="V39" s="11">
        <f t="shared" si="11"/>
        <v>0</v>
      </c>
    </row>
    <row r="40" spans="1:22" ht="38.25" x14ac:dyDescent="0.25">
      <c r="A40" s="2" t="s">
        <v>73</v>
      </c>
      <c r="B40" s="3" t="s">
        <v>74</v>
      </c>
      <c r="C40" s="11">
        <v>1000</v>
      </c>
      <c r="D40" s="12"/>
      <c r="E40" s="13"/>
      <c r="F40" s="13"/>
      <c r="G40" s="14"/>
      <c r="H40" s="27">
        <f t="shared" si="8"/>
        <v>1000</v>
      </c>
      <c r="I40" s="48"/>
      <c r="J40" s="59"/>
      <c r="K40" s="17">
        <f>1000/10</f>
        <v>100</v>
      </c>
      <c r="L40" s="17">
        <f t="shared" ref="L40:T40" si="28">1000/10</f>
        <v>100</v>
      </c>
      <c r="M40" s="17">
        <f t="shared" si="28"/>
        <v>100</v>
      </c>
      <c r="N40" s="17">
        <f t="shared" si="28"/>
        <v>100</v>
      </c>
      <c r="O40" s="17">
        <f t="shared" si="28"/>
        <v>100</v>
      </c>
      <c r="P40" s="17">
        <f t="shared" si="28"/>
        <v>100</v>
      </c>
      <c r="Q40" s="17">
        <f t="shared" si="28"/>
        <v>100</v>
      </c>
      <c r="R40" s="17">
        <f t="shared" si="28"/>
        <v>100</v>
      </c>
      <c r="S40" s="17">
        <f t="shared" si="28"/>
        <v>100</v>
      </c>
      <c r="T40" s="17">
        <f t="shared" si="28"/>
        <v>100</v>
      </c>
      <c r="U40" s="55">
        <f t="shared" si="10"/>
        <v>1000</v>
      </c>
      <c r="V40" s="11">
        <f t="shared" si="11"/>
        <v>0</v>
      </c>
    </row>
    <row r="41" spans="1:22" ht="13.5" thickBot="1" x14ac:dyDescent="0.3">
      <c r="A41" s="6"/>
      <c r="B41" s="7"/>
      <c r="C41" s="19"/>
      <c r="D41" s="20"/>
      <c r="E41" s="21"/>
      <c r="F41" s="21"/>
      <c r="G41" s="22"/>
      <c r="H41" s="40"/>
      <c r="I41" s="50"/>
      <c r="J41" s="61"/>
      <c r="K41" s="35"/>
      <c r="L41" s="35"/>
      <c r="M41" s="35"/>
      <c r="N41" s="35"/>
      <c r="O41" s="35"/>
      <c r="P41" s="35"/>
      <c r="Q41" s="35"/>
      <c r="R41" s="35"/>
      <c r="S41" s="35"/>
      <c r="T41" s="44"/>
      <c r="U41" s="56"/>
      <c r="V41" s="19"/>
    </row>
    <row r="42" spans="1:22" ht="13.5" thickBot="1" x14ac:dyDescent="0.3">
      <c r="A42" s="135" t="s">
        <v>26</v>
      </c>
      <c r="B42" s="136"/>
      <c r="C42" s="23">
        <f t="shared" ref="C42:V42" si="29">SUM(C22:C41)</f>
        <v>112503000</v>
      </c>
      <c r="D42" s="24">
        <f t="shared" si="29"/>
        <v>51561812</v>
      </c>
      <c r="E42" s="25">
        <f t="shared" si="29"/>
        <v>0</v>
      </c>
      <c r="F42" s="25">
        <f t="shared" si="29"/>
        <v>0</v>
      </c>
      <c r="G42" s="26">
        <f t="shared" si="29"/>
        <v>0</v>
      </c>
      <c r="H42" s="23">
        <f t="shared" si="29"/>
        <v>164064812</v>
      </c>
      <c r="I42" s="37">
        <f t="shared" si="29"/>
        <v>193196</v>
      </c>
      <c r="J42" s="38">
        <f t="shared" si="29"/>
        <v>1422627</v>
      </c>
      <c r="K42" s="38">
        <f t="shared" si="29"/>
        <v>15583127.344444443</v>
      </c>
      <c r="L42" s="38">
        <f t="shared" si="29"/>
        <v>15583127.344444443</v>
      </c>
      <c r="M42" s="38">
        <f t="shared" si="29"/>
        <v>15583127.344444443</v>
      </c>
      <c r="N42" s="38">
        <f t="shared" si="29"/>
        <v>15583127.344444443</v>
      </c>
      <c r="O42" s="38">
        <f t="shared" si="29"/>
        <v>19743127.344444443</v>
      </c>
      <c r="P42" s="38">
        <f t="shared" si="29"/>
        <v>19743127.344444443</v>
      </c>
      <c r="Q42" s="38">
        <f t="shared" si="29"/>
        <v>19743127.344444443</v>
      </c>
      <c r="R42" s="38">
        <f t="shared" si="29"/>
        <v>19743127.344444443</v>
      </c>
      <c r="S42" s="38">
        <f t="shared" si="29"/>
        <v>19743127.344444443</v>
      </c>
      <c r="T42" s="39">
        <f t="shared" si="29"/>
        <v>1400842.9</v>
      </c>
      <c r="U42" s="57">
        <f t="shared" si="29"/>
        <v>164064812</v>
      </c>
      <c r="V42" s="23">
        <f t="shared" si="29"/>
        <v>0</v>
      </c>
    </row>
  </sheetData>
  <mergeCells count="67">
    <mergeCell ref="V20:V21"/>
    <mergeCell ref="A42:B42"/>
    <mergeCell ref="P20:P21"/>
    <mergeCell ref="Q20:Q21"/>
    <mergeCell ref="R20:R21"/>
    <mergeCell ref="S20:S21"/>
    <mergeCell ref="T20:T21"/>
    <mergeCell ref="U20:U21"/>
    <mergeCell ref="J20:J21"/>
    <mergeCell ref="K20:K21"/>
    <mergeCell ref="L20:L21"/>
    <mergeCell ref="M20:M21"/>
    <mergeCell ref="N20:N21"/>
    <mergeCell ref="O20:O21"/>
    <mergeCell ref="A20:A21"/>
    <mergeCell ref="B20:B21"/>
    <mergeCell ref="C20:C21"/>
    <mergeCell ref="D20:G20"/>
    <mergeCell ref="H20:H21"/>
    <mergeCell ref="I20:I21"/>
    <mergeCell ref="D16:E16"/>
    <mergeCell ref="F16:G16"/>
    <mergeCell ref="A17:B17"/>
    <mergeCell ref="D17:E17"/>
    <mergeCell ref="F17:G17"/>
    <mergeCell ref="A19:V19"/>
    <mergeCell ref="D13:E13"/>
    <mergeCell ref="F13:G13"/>
    <mergeCell ref="D14:E14"/>
    <mergeCell ref="F14:G14"/>
    <mergeCell ref="D15:E15"/>
    <mergeCell ref="F15:G15"/>
    <mergeCell ref="D10:E10"/>
    <mergeCell ref="F10:G10"/>
    <mergeCell ref="D11:E11"/>
    <mergeCell ref="F11:G11"/>
    <mergeCell ref="D12:E12"/>
    <mergeCell ref="F12:G12"/>
    <mergeCell ref="D9:E9"/>
    <mergeCell ref="F9:G9"/>
    <mergeCell ref="P6:P7"/>
    <mergeCell ref="Q6:Q7"/>
    <mergeCell ref="R6:R7"/>
    <mergeCell ref="J6:J7"/>
    <mergeCell ref="K6:K7"/>
    <mergeCell ref="L6:L7"/>
    <mergeCell ref="M6:M7"/>
    <mergeCell ref="N6:N7"/>
    <mergeCell ref="O6:O7"/>
    <mergeCell ref="D7:E7"/>
    <mergeCell ref="F7:G7"/>
    <mergeCell ref="D8:E8"/>
    <mergeCell ref="F8:G8"/>
    <mergeCell ref="A1:V1"/>
    <mergeCell ref="A2:V2"/>
    <mergeCell ref="A3:V3"/>
    <mergeCell ref="A5:V5"/>
    <mergeCell ref="A6:A7"/>
    <mergeCell ref="B6:B7"/>
    <mergeCell ref="C6:C7"/>
    <mergeCell ref="D6:G6"/>
    <mergeCell ref="H6:H7"/>
    <mergeCell ref="I6:I7"/>
    <mergeCell ref="V6:V7"/>
    <mergeCell ref="S6:S7"/>
    <mergeCell ref="T6:T7"/>
    <mergeCell ref="U6:U7"/>
  </mergeCells>
  <printOptions horizontalCentered="1" verticalCentered="1"/>
  <pageMargins left="0.39370078740157483" right="0.39370078740157483" top="0.39370078740157483" bottom="0.59055118110236227" header="0.39370078740157483" footer="0.39370078740157483"/>
  <pageSetup paperSize="258" scale="75" orientation="landscape" r:id="rId1"/>
  <headerFooter>
    <oddFooter>&amp;L&amp;F&amp;C&amp;A&amp;R&amp;P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zoomScaleNormal="100" workbookViewId="0">
      <selection activeCell="L9" sqref="L9:T9"/>
    </sheetView>
  </sheetViews>
  <sheetFormatPr baseColWidth="10" defaultColWidth="11.42578125" defaultRowHeight="12.75" x14ac:dyDescent="0.25"/>
  <cols>
    <col min="1" max="1" width="6.7109375" style="1" customWidth="1"/>
    <col min="2" max="2" width="12.7109375" style="1" customWidth="1"/>
    <col min="3" max="3" width="11.7109375" style="1" customWidth="1"/>
    <col min="4" max="4" width="10.7109375" style="1" customWidth="1"/>
    <col min="5" max="7" width="3.7109375" style="1" customWidth="1"/>
    <col min="8" max="8" width="11.7109375" style="1" customWidth="1"/>
    <col min="9" max="10" width="10.7109375" style="1" customWidth="1"/>
    <col min="11" max="11" width="9.7109375" style="1" customWidth="1"/>
    <col min="12" max="19" width="10.7109375" style="1" customWidth="1"/>
    <col min="20" max="20" width="9.7109375" style="1" customWidth="1"/>
    <col min="21" max="21" width="11.7109375" style="1" customWidth="1"/>
    <col min="22" max="22" width="3.7109375" style="1" customWidth="1"/>
    <col min="23" max="23" width="11.5703125" style="1" bestFit="1" customWidth="1"/>
    <col min="24" max="16384" width="11.42578125" style="1"/>
  </cols>
  <sheetData>
    <row r="1" spans="1:22" ht="13.15" x14ac:dyDescent="0.3">
      <c r="A1" s="124" t="s">
        <v>27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</row>
    <row r="2" spans="1:22" ht="13.15" x14ac:dyDescent="0.3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22" ht="13.15" x14ac:dyDescent="0.3">
      <c r="A3" s="124" t="s">
        <v>28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</row>
    <row r="5" spans="1:22" ht="13.9" thickBot="1" x14ac:dyDescent="0.35">
      <c r="A5" s="124" t="s">
        <v>1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</row>
    <row r="6" spans="1:22" x14ac:dyDescent="0.25">
      <c r="A6" s="125" t="s">
        <v>2</v>
      </c>
      <c r="B6" s="127" t="s">
        <v>3</v>
      </c>
      <c r="C6" s="120" t="s">
        <v>4</v>
      </c>
      <c r="D6" s="125" t="s">
        <v>5</v>
      </c>
      <c r="E6" s="129"/>
      <c r="F6" s="129"/>
      <c r="G6" s="130"/>
      <c r="H6" s="120" t="s">
        <v>8</v>
      </c>
      <c r="I6" s="133" t="s">
        <v>9</v>
      </c>
      <c r="J6" s="122" t="s">
        <v>10</v>
      </c>
      <c r="K6" s="122" t="s">
        <v>11</v>
      </c>
      <c r="L6" s="122" t="s">
        <v>12</v>
      </c>
      <c r="M6" s="122" t="s">
        <v>13</v>
      </c>
      <c r="N6" s="122" t="s">
        <v>14</v>
      </c>
      <c r="O6" s="122" t="s">
        <v>15</v>
      </c>
      <c r="P6" s="122" t="s">
        <v>16</v>
      </c>
      <c r="Q6" s="122" t="s">
        <v>17</v>
      </c>
      <c r="R6" s="122" t="s">
        <v>18</v>
      </c>
      <c r="S6" s="122" t="s">
        <v>19</v>
      </c>
      <c r="T6" s="150" t="s">
        <v>20</v>
      </c>
      <c r="U6" s="120" t="s">
        <v>21</v>
      </c>
      <c r="V6" s="120" t="s">
        <v>22</v>
      </c>
    </row>
    <row r="7" spans="1:22" ht="13.5" thickBot="1" x14ac:dyDescent="0.3">
      <c r="A7" s="126"/>
      <c r="B7" s="128"/>
      <c r="C7" s="121"/>
      <c r="D7" s="126" t="s">
        <v>6</v>
      </c>
      <c r="E7" s="131"/>
      <c r="F7" s="131" t="s">
        <v>7</v>
      </c>
      <c r="G7" s="132"/>
      <c r="H7" s="121"/>
      <c r="I7" s="134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51"/>
      <c r="U7" s="121"/>
      <c r="V7" s="121"/>
    </row>
    <row r="8" spans="1:22" ht="118.9" x14ac:dyDescent="0.3">
      <c r="A8" s="2" t="s">
        <v>29</v>
      </c>
      <c r="B8" s="3" t="s">
        <v>30</v>
      </c>
      <c r="C8" s="11">
        <v>3000000</v>
      </c>
      <c r="D8" s="147"/>
      <c r="E8" s="142"/>
      <c r="F8" s="142"/>
      <c r="G8" s="143"/>
      <c r="H8" s="27">
        <f>C8+D8-F8</f>
        <v>3000000</v>
      </c>
      <c r="I8" s="47"/>
      <c r="J8" s="58">
        <v>0</v>
      </c>
      <c r="K8" s="58">
        <v>0</v>
      </c>
      <c r="L8" s="29">
        <f>3000000/8</f>
        <v>375000</v>
      </c>
      <c r="M8" s="29">
        <f t="shared" ref="M8:S8" si="0">3000000/8</f>
        <v>375000</v>
      </c>
      <c r="N8" s="29">
        <f t="shared" si="0"/>
        <v>375000</v>
      </c>
      <c r="O8" s="29">
        <f t="shared" si="0"/>
        <v>375000</v>
      </c>
      <c r="P8" s="29">
        <f t="shared" si="0"/>
        <v>375000</v>
      </c>
      <c r="Q8" s="29">
        <f t="shared" si="0"/>
        <v>375000</v>
      </c>
      <c r="R8" s="29">
        <f t="shared" si="0"/>
        <v>375000</v>
      </c>
      <c r="S8" s="29">
        <f t="shared" si="0"/>
        <v>375000</v>
      </c>
      <c r="T8" s="41"/>
      <c r="U8" s="11">
        <f>SUM(I8:T8)</f>
        <v>3000000</v>
      </c>
      <c r="V8" s="11">
        <f>H8-U8</f>
        <v>0</v>
      </c>
    </row>
    <row r="9" spans="1:22" ht="52.9" x14ac:dyDescent="0.3">
      <c r="A9" s="4" t="s">
        <v>31</v>
      </c>
      <c r="B9" s="5" t="s">
        <v>32</v>
      </c>
      <c r="C9" s="15">
        <v>3300000</v>
      </c>
      <c r="D9" s="148"/>
      <c r="E9" s="144"/>
      <c r="F9" s="144"/>
      <c r="G9" s="145"/>
      <c r="H9" s="32">
        <f t="shared" ref="H9:H16" si="1">C9+D9-F9</f>
        <v>3300000</v>
      </c>
      <c r="I9" s="48">
        <v>407000</v>
      </c>
      <c r="J9" s="59">
        <v>204500</v>
      </c>
      <c r="K9" s="59">
        <v>139000</v>
      </c>
      <c r="L9" s="17">
        <f>2549500/9</f>
        <v>283277.77777777775</v>
      </c>
      <c r="M9" s="17">
        <f t="shared" ref="M9:T9" si="2">2549500/9</f>
        <v>283277.77777777775</v>
      </c>
      <c r="N9" s="17">
        <f t="shared" si="2"/>
        <v>283277.77777777775</v>
      </c>
      <c r="O9" s="17">
        <f t="shared" si="2"/>
        <v>283277.77777777775</v>
      </c>
      <c r="P9" s="17">
        <f t="shared" si="2"/>
        <v>283277.77777777775</v>
      </c>
      <c r="Q9" s="17">
        <f t="shared" si="2"/>
        <v>283277.77777777775</v>
      </c>
      <c r="R9" s="17">
        <f t="shared" si="2"/>
        <v>283277.77777777775</v>
      </c>
      <c r="S9" s="17">
        <f t="shared" si="2"/>
        <v>283277.77777777775</v>
      </c>
      <c r="T9" s="17">
        <f t="shared" si="2"/>
        <v>283277.77777777775</v>
      </c>
      <c r="U9" s="15">
        <f t="shared" ref="U9:U16" si="3">SUM(I9:T9)</f>
        <v>3300000.0000000009</v>
      </c>
      <c r="V9" s="15">
        <f t="shared" ref="V9:V16" si="4">H9-U9</f>
        <v>0</v>
      </c>
    </row>
    <row r="10" spans="1:22" ht="39.6" x14ac:dyDescent="0.3">
      <c r="A10" s="4" t="s">
        <v>33</v>
      </c>
      <c r="B10" s="5" t="s">
        <v>34</v>
      </c>
      <c r="C10" s="15">
        <v>78000000</v>
      </c>
      <c r="D10" s="148"/>
      <c r="E10" s="144"/>
      <c r="F10" s="144"/>
      <c r="G10" s="145"/>
      <c r="H10" s="32">
        <f t="shared" si="1"/>
        <v>78000000</v>
      </c>
      <c r="I10" s="48"/>
      <c r="J10" s="59">
        <v>62478528</v>
      </c>
      <c r="K10" s="59"/>
      <c r="L10" s="17">
        <v>15521472</v>
      </c>
      <c r="M10" s="17"/>
      <c r="N10" s="17"/>
      <c r="O10" s="17"/>
      <c r="P10" s="17"/>
      <c r="Q10" s="17"/>
      <c r="R10" s="17"/>
      <c r="S10" s="17"/>
      <c r="T10" s="43"/>
      <c r="U10" s="15">
        <f t="shared" si="3"/>
        <v>78000000</v>
      </c>
      <c r="V10" s="15">
        <f t="shared" si="4"/>
        <v>0</v>
      </c>
    </row>
    <row r="11" spans="1:22" ht="39.6" x14ac:dyDescent="0.3">
      <c r="A11" s="4" t="s">
        <v>35</v>
      </c>
      <c r="B11" s="5" t="s">
        <v>36</v>
      </c>
      <c r="C11" s="15">
        <v>28000000</v>
      </c>
      <c r="D11" s="148"/>
      <c r="E11" s="144"/>
      <c r="F11" s="144"/>
      <c r="G11" s="145"/>
      <c r="H11" s="32">
        <f t="shared" si="1"/>
        <v>28000000</v>
      </c>
      <c r="I11" s="48"/>
      <c r="J11" s="59"/>
      <c r="K11" s="59"/>
      <c r="L11" s="17"/>
      <c r="M11" s="17"/>
      <c r="N11" s="17"/>
      <c r="O11" s="17">
        <v>28000000</v>
      </c>
      <c r="P11" s="17"/>
      <c r="Q11" s="17"/>
      <c r="R11" s="17"/>
      <c r="S11" s="17"/>
      <c r="T11" s="43"/>
      <c r="U11" s="15">
        <f t="shared" si="3"/>
        <v>28000000</v>
      </c>
      <c r="V11" s="15">
        <f t="shared" si="4"/>
        <v>0</v>
      </c>
    </row>
    <row r="12" spans="1:22" ht="25.5" x14ac:dyDescent="0.25">
      <c r="A12" s="4" t="s">
        <v>37</v>
      </c>
      <c r="B12" s="5" t="s">
        <v>38</v>
      </c>
      <c r="C12" s="15">
        <v>200000</v>
      </c>
      <c r="D12" s="148"/>
      <c r="E12" s="144"/>
      <c r="F12" s="144"/>
      <c r="G12" s="145"/>
      <c r="H12" s="32">
        <f t="shared" si="1"/>
        <v>200000</v>
      </c>
      <c r="I12" s="48">
        <v>1100</v>
      </c>
      <c r="J12" s="59">
        <v>1787</v>
      </c>
      <c r="K12" s="59">
        <v>6206</v>
      </c>
      <c r="L12" s="17">
        <f>190907/9</f>
        <v>21211.888888888891</v>
      </c>
      <c r="M12" s="17">
        <f t="shared" ref="M12:T12" si="5">190907/9</f>
        <v>21211.888888888891</v>
      </c>
      <c r="N12" s="17">
        <f t="shared" si="5"/>
        <v>21211.888888888891</v>
      </c>
      <c r="O12" s="17">
        <f t="shared" si="5"/>
        <v>21211.888888888891</v>
      </c>
      <c r="P12" s="17">
        <f t="shared" si="5"/>
        <v>21211.888888888891</v>
      </c>
      <c r="Q12" s="17">
        <f t="shared" si="5"/>
        <v>21211.888888888891</v>
      </c>
      <c r="R12" s="17">
        <f t="shared" si="5"/>
        <v>21211.888888888891</v>
      </c>
      <c r="S12" s="17">
        <f t="shared" si="5"/>
        <v>21211.888888888891</v>
      </c>
      <c r="T12" s="17">
        <f t="shared" si="5"/>
        <v>21211.888888888891</v>
      </c>
      <c r="U12" s="15">
        <f t="shared" si="3"/>
        <v>200000</v>
      </c>
      <c r="V12" s="15">
        <f t="shared" si="4"/>
        <v>0</v>
      </c>
    </row>
    <row r="13" spans="1:22" ht="25.5" x14ac:dyDescent="0.25">
      <c r="A13" s="6" t="s">
        <v>39</v>
      </c>
      <c r="B13" s="7" t="s">
        <v>40</v>
      </c>
      <c r="C13" s="19">
        <v>1000</v>
      </c>
      <c r="D13" s="148">
        <v>1075935</v>
      </c>
      <c r="E13" s="144"/>
      <c r="F13" s="144"/>
      <c r="G13" s="145"/>
      <c r="H13" s="32">
        <f t="shared" si="1"/>
        <v>1076935</v>
      </c>
      <c r="I13" s="49">
        <v>1075935</v>
      </c>
      <c r="J13" s="60"/>
      <c r="K13" s="60"/>
      <c r="L13" s="21">
        <v>1000</v>
      </c>
      <c r="M13" s="21"/>
      <c r="N13" s="21"/>
      <c r="O13" s="21"/>
      <c r="P13" s="21"/>
      <c r="Q13" s="21"/>
      <c r="R13" s="21"/>
      <c r="S13" s="21"/>
      <c r="T13" s="46"/>
      <c r="U13" s="15">
        <f t="shared" si="3"/>
        <v>1076935</v>
      </c>
      <c r="V13" s="15">
        <f t="shared" si="4"/>
        <v>0</v>
      </c>
    </row>
    <row r="14" spans="1:22" ht="25.5" x14ac:dyDescent="0.25">
      <c r="A14" s="6" t="s">
        <v>41</v>
      </c>
      <c r="B14" s="7" t="s">
        <v>42</v>
      </c>
      <c r="C14" s="19">
        <v>1000</v>
      </c>
      <c r="D14" s="148">
        <v>30546317</v>
      </c>
      <c r="E14" s="144"/>
      <c r="F14" s="144"/>
      <c r="G14" s="145"/>
      <c r="H14" s="32">
        <f t="shared" si="1"/>
        <v>30547317</v>
      </c>
      <c r="I14" s="49">
        <v>30546317</v>
      </c>
      <c r="J14" s="60"/>
      <c r="K14" s="60"/>
      <c r="L14" s="21">
        <v>1000</v>
      </c>
      <c r="M14" s="21"/>
      <c r="N14" s="21"/>
      <c r="O14" s="21"/>
      <c r="P14" s="21"/>
      <c r="Q14" s="21"/>
      <c r="R14" s="21"/>
      <c r="S14" s="21"/>
      <c r="T14" s="46"/>
      <c r="U14" s="15">
        <f t="shared" si="3"/>
        <v>30547317</v>
      </c>
      <c r="V14" s="15">
        <f t="shared" si="4"/>
        <v>0</v>
      </c>
    </row>
    <row r="15" spans="1:22" ht="25.5" x14ac:dyDescent="0.25">
      <c r="A15" s="6" t="s">
        <v>43</v>
      </c>
      <c r="B15" s="7" t="s">
        <v>44</v>
      </c>
      <c r="C15" s="19">
        <v>1000</v>
      </c>
      <c r="D15" s="148">
        <v>19939560</v>
      </c>
      <c r="E15" s="144"/>
      <c r="F15" s="144"/>
      <c r="G15" s="145"/>
      <c r="H15" s="32">
        <f t="shared" si="1"/>
        <v>19940560</v>
      </c>
      <c r="I15" s="49">
        <v>19939560</v>
      </c>
      <c r="J15" s="60"/>
      <c r="K15" s="60"/>
      <c r="L15" s="21">
        <v>1000</v>
      </c>
      <c r="M15" s="21"/>
      <c r="N15" s="21"/>
      <c r="O15" s="21"/>
      <c r="P15" s="21"/>
      <c r="Q15" s="21"/>
      <c r="R15" s="21"/>
      <c r="S15" s="21"/>
      <c r="T15" s="46"/>
      <c r="U15" s="15">
        <f t="shared" si="3"/>
        <v>19940560</v>
      </c>
      <c r="V15" s="15">
        <f t="shared" si="4"/>
        <v>0</v>
      </c>
    </row>
    <row r="16" spans="1:22" ht="13.5" thickBot="1" x14ac:dyDescent="0.3">
      <c r="A16" s="6"/>
      <c r="B16" s="7"/>
      <c r="C16" s="19"/>
      <c r="D16" s="138"/>
      <c r="E16" s="139"/>
      <c r="F16" s="139"/>
      <c r="G16" s="146"/>
      <c r="H16" s="32">
        <f t="shared" si="1"/>
        <v>0</v>
      </c>
      <c r="I16" s="50"/>
      <c r="J16" s="61"/>
      <c r="K16" s="61"/>
      <c r="L16" s="35"/>
      <c r="M16" s="35"/>
      <c r="N16" s="35"/>
      <c r="O16" s="35"/>
      <c r="P16" s="35"/>
      <c r="Q16" s="35"/>
      <c r="R16" s="35"/>
      <c r="S16" s="35"/>
      <c r="T16" s="44"/>
      <c r="U16" s="15">
        <f t="shared" si="3"/>
        <v>0</v>
      </c>
      <c r="V16" s="15">
        <f t="shared" si="4"/>
        <v>0</v>
      </c>
    </row>
    <row r="17" spans="1:22" ht="13.5" thickBot="1" x14ac:dyDescent="0.3">
      <c r="A17" s="135" t="s">
        <v>26</v>
      </c>
      <c r="B17" s="136"/>
      <c r="C17" s="23">
        <f>SUM(C8:C16)</f>
        <v>112503000</v>
      </c>
      <c r="D17" s="140">
        <f>SUM(D8:E16)</f>
        <v>51561812</v>
      </c>
      <c r="E17" s="141"/>
      <c r="F17" s="140">
        <f>SUM(F8:G16)</f>
        <v>0</v>
      </c>
      <c r="G17" s="141"/>
      <c r="H17" s="23">
        <f t="shared" ref="H17:V17" si="6">SUM(H8:H16)</f>
        <v>164064812</v>
      </c>
      <c r="I17" s="37">
        <f t="shared" si="6"/>
        <v>51969912</v>
      </c>
      <c r="J17" s="38">
        <f t="shared" si="6"/>
        <v>62684815</v>
      </c>
      <c r="K17" s="38">
        <f t="shared" si="6"/>
        <v>145206</v>
      </c>
      <c r="L17" s="38">
        <f t="shared" si="6"/>
        <v>16203961.666666666</v>
      </c>
      <c r="M17" s="38">
        <f t="shared" si="6"/>
        <v>679489.66666666663</v>
      </c>
      <c r="N17" s="38">
        <f t="shared" si="6"/>
        <v>679489.66666666663</v>
      </c>
      <c r="O17" s="38">
        <f t="shared" si="6"/>
        <v>28679489.666666664</v>
      </c>
      <c r="P17" s="38">
        <f t="shared" si="6"/>
        <v>679489.66666666663</v>
      </c>
      <c r="Q17" s="38">
        <f t="shared" si="6"/>
        <v>679489.66666666663</v>
      </c>
      <c r="R17" s="38">
        <f t="shared" si="6"/>
        <v>679489.66666666663</v>
      </c>
      <c r="S17" s="38">
        <f t="shared" si="6"/>
        <v>679489.66666666663</v>
      </c>
      <c r="T17" s="51">
        <f t="shared" si="6"/>
        <v>304489.66666666663</v>
      </c>
      <c r="U17" s="23">
        <f t="shared" si="6"/>
        <v>164064812</v>
      </c>
      <c r="V17" s="23">
        <f t="shared" si="6"/>
        <v>0</v>
      </c>
    </row>
    <row r="19" spans="1:22" ht="13.5" thickBot="1" x14ac:dyDescent="0.3">
      <c r="A19" s="124" t="s">
        <v>23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</row>
    <row r="20" spans="1:22" x14ac:dyDescent="0.25">
      <c r="A20" s="133" t="s">
        <v>2</v>
      </c>
      <c r="B20" s="127" t="s">
        <v>3</v>
      </c>
      <c r="C20" s="120" t="s">
        <v>4</v>
      </c>
      <c r="D20" s="125" t="s">
        <v>5</v>
      </c>
      <c r="E20" s="129"/>
      <c r="F20" s="129"/>
      <c r="G20" s="130"/>
      <c r="H20" s="120" t="s">
        <v>8</v>
      </c>
      <c r="I20" s="133" t="s">
        <v>9</v>
      </c>
      <c r="J20" s="122" t="s">
        <v>10</v>
      </c>
      <c r="K20" s="122" t="s">
        <v>11</v>
      </c>
      <c r="L20" s="122" t="s">
        <v>12</v>
      </c>
      <c r="M20" s="122" t="s">
        <v>13</v>
      </c>
      <c r="N20" s="122" t="s">
        <v>14</v>
      </c>
      <c r="O20" s="122" t="s">
        <v>15</v>
      </c>
      <c r="P20" s="122" t="s">
        <v>16</v>
      </c>
      <c r="Q20" s="122" t="s">
        <v>17</v>
      </c>
      <c r="R20" s="122" t="s">
        <v>18</v>
      </c>
      <c r="S20" s="122" t="s">
        <v>19</v>
      </c>
      <c r="T20" s="127" t="s">
        <v>20</v>
      </c>
      <c r="U20" s="152" t="s">
        <v>21</v>
      </c>
      <c r="V20" s="120" t="s">
        <v>22</v>
      </c>
    </row>
    <row r="21" spans="1:22" ht="25.5" customHeight="1" thickBot="1" x14ac:dyDescent="0.3">
      <c r="A21" s="149"/>
      <c r="B21" s="128"/>
      <c r="C21" s="121"/>
      <c r="D21" s="8" t="s">
        <v>6</v>
      </c>
      <c r="E21" s="9" t="s">
        <v>7</v>
      </c>
      <c r="F21" s="9" t="s">
        <v>24</v>
      </c>
      <c r="G21" s="10" t="s">
        <v>25</v>
      </c>
      <c r="H21" s="121"/>
      <c r="I21" s="134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37"/>
      <c r="U21" s="153"/>
      <c r="V21" s="121"/>
    </row>
    <row r="22" spans="1:22" ht="51" x14ac:dyDescent="0.25">
      <c r="A22" s="2" t="s">
        <v>75</v>
      </c>
      <c r="B22" s="3" t="s">
        <v>76</v>
      </c>
      <c r="C22" s="11">
        <v>0</v>
      </c>
      <c r="D22" s="12">
        <v>19939560</v>
      </c>
      <c r="E22" s="13"/>
      <c r="F22" s="13"/>
      <c r="G22" s="14"/>
      <c r="H22" s="27">
        <f>C22+D22-E22+F22-G22</f>
        <v>19939560</v>
      </c>
      <c r="I22" s="47"/>
      <c r="J22" s="58"/>
      <c r="K22" s="58"/>
      <c r="L22" s="29">
        <f>19939560/8</f>
        <v>2492445</v>
      </c>
      <c r="M22" s="29">
        <f t="shared" ref="M22:S22" si="7">19939560/8</f>
        <v>2492445</v>
      </c>
      <c r="N22" s="29">
        <f t="shared" si="7"/>
        <v>2492445</v>
      </c>
      <c r="O22" s="29">
        <f t="shared" si="7"/>
        <v>2492445</v>
      </c>
      <c r="P22" s="29">
        <f t="shared" si="7"/>
        <v>2492445</v>
      </c>
      <c r="Q22" s="29">
        <f t="shared" si="7"/>
        <v>2492445</v>
      </c>
      <c r="R22" s="29">
        <f t="shared" si="7"/>
        <v>2492445</v>
      </c>
      <c r="S22" s="29">
        <f t="shared" si="7"/>
        <v>2492445</v>
      </c>
      <c r="T22" s="41"/>
      <c r="U22" s="52">
        <f>SUM(I22:T22)</f>
        <v>19939560</v>
      </c>
      <c r="V22" s="11">
        <f>H22-U22</f>
        <v>0</v>
      </c>
    </row>
    <row r="23" spans="1:22" ht="51" x14ac:dyDescent="0.25">
      <c r="A23" s="2" t="s">
        <v>45</v>
      </c>
      <c r="B23" s="3" t="s">
        <v>46</v>
      </c>
      <c r="C23" s="11">
        <v>18500000</v>
      </c>
      <c r="D23" s="12"/>
      <c r="E23" s="13"/>
      <c r="F23" s="13"/>
      <c r="G23" s="14"/>
      <c r="H23" s="27">
        <f t="shared" ref="H23:H40" si="8">C23+D23-E23+F23-G23</f>
        <v>18500000</v>
      </c>
      <c r="I23" s="53"/>
      <c r="J23" s="62"/>
      <c r="K23" s="62"/>
      <c r="L23" s="13"/>
      <c r="M23" s="13"/>
      <c r="N23" s="13"/>
      <c r="O23" s="13">
        <f>18500000/5</f>
        <v>3700000</v>
      </c>
      <c r="P23" s="13">
        <f t="shared" ref="P23:S23" si="9">18500000/5</f>
        <v>3700000</v>
      </c>
      <c r="Q23" s="13">
        <f t="shared" si="9"/>
        <v>3700000</v>
      </c>
      <c r="R23" s="13">
        <f t="shared" si="9"/>
        <v>3700000</v>
      </c>
      <c r="S23" s="13">
        <f t="shared" si="9"/>
        <v>3700000</v>
      </c>
      <c r="T23" s="54"/>
      <c r="U23" s="55">
        <f t="shared" ref="U23:U40" si="10">SUM(I23:T23)</f>
        <v>18500000</v>
      </c>
      <c r="V23" s="11">
        <f t="shared" ref="V23:V40" si="11">H23-U23</f>
        <v>0</v>
      </c>
    </row>
    <row r="24" spans="1:22" ht="51" x14ac:dyDescent="0.25">
      <c r="A24" s="2" t="s">
        <v>77</v>
      </c>
      <c r="B24" s="3" t="s">
        <v>78</v>
      </c>
      <c r="C24" s="11">
        <v>0</v>
      </c>
      <c r="D24" s="12">
        <v>16000000</v>
      </c>
      <c r="E24" s="13"/>
      <c r="F24" s="13"/>
      <c r="G24" s="14"/>
      <c r="H24" s="27">
        <f t="shared" si="8"/>
        <v>16000000</v>
      </c>
      <c r="I24" s="53"/>
      <c r="J24" s="62"/>
      <c r="K24" s="62"/>
      <c r="L24" s="13">
        <f>16000000/8</f>
        <v>2000000</v>
      </c>
      <c r="M24" s="13">
        <f t="shared" ref="M24:S24" si="12">16000000/8</f>
        <v>2000000</v>
      </c>
      <c r="N24" s="13">
        <f t="shared" si="12"/>
        <v>2000000</v>
      </c>
      <c r="O24" s="13">
        <f t="shared" si="12"/>
        <v>2000000</v>
      </c>
      <c r="P24" s="13">
        <f t="shared" si="12"/>
        <v>2000000</v>
      </c>
      <c r="Q24" s="13">
        <f t="shared" si="12"/>
        <v>2000000</v>
      </c>
      <c r="R24" s="13">
        <f t="shared" si="12"/>
        <v>2000000</v>
      </c>
      <c r="S24" s="13">
        <f t="shared" si="12"/>
        <v>2000000</v>
      </c>
      <c r="T24" s="54"/>
      <c r="U24" s="55">
        <f t="shared" si="10"/>
        <v>16000000</v>
      </c>
      <c r="V24" s="11">
        <f t="shared" si="11"/>
        <v>0</v>
      </c>
    </row>
    <row r="25" spans="1:22" ht="38.25" x14ac:dyDescent="0.25">
      <c r="A25" s="2" t="s">
        <v>47</v>
      </c>
      <c r="B25" s="3" t="s">
        <v>48</v>
      </c>
      <c r="C25" s="11">
        <v>14000000</v>
      </c>
      <c r="D25" s="12"/>
      <c r="E25" s="13"/>
      <c r="F25" s="13"/>
      <c r="G25" s="14"/>
      <c r="H25" s="27">
        <f t="shared" si="8"/>
        <v>14000000</v>
      </c>
      <c r="I25" s="48"/>
      <c r="J25" s="59"/>
      <c r="K25" s="59"/>
      <c r="L25" s="17">
        <f>14000000/8</f>
        <v>1750000</v>
      </c>
      <c r="M25" s="17">
        <f t="shared" ref="M25:S25" si="13">14000000/8</f>
        <v>1750000</v>
      </c>
      <c r="N25" s="17">
        <f t="shared" si="13"/>
        <v>1750000</v>
      </c>
      <c r="O25" s="17">
        <f t="shared" si="13"/>
        <v>1750000</v>
      </c>
      <c r="P25" s="17">
        <f t="shared" si="13"/>
        <v>1750000</v>
      </c>
      <c r="Q25" s="17">
        <f t="shared" si="13"/>
        <v>1750000</v>
      </c>
      <c r="R25" s="17">
        <f t="shared" si="13"/>
        <v>1750000</v>
      </c>
      <c r="S25" s="17">
        <f t="shared" si="13"/>
        <v>1750000</v>
      </c>
      <c r="T25" s="43"/>
      <c r="U25" s="55">
        <f t="shared" si="10"/>
        <v>14000000</v>
      </c>
      <c r="V25" s="11">
        <f t="shared" si="11"/>
        <v>0</v>
      </c>
    </row>
    <row r="26" spans="1:22" ht="51" x14ac:dyDescent="0.25">
      <c r="A26" s="2" t="s">
        <v>49</v>
      </c>
      <c r="B26" s="3" t="s">
        <v>50</v>
      </c>
      <c r="C26" s="11">
        <v>1000</v>
      </c>
      <c r="D26" s="12"/>
      <c r="E26" s="13"/>
      <c r="F26" s="13"/>
      <c r="G26" s="14"/>
      <c r="H26" s="27">
        <f t="shared" si="8"/>
        <v>1000</v>
      </c>
      <c r="I26" s="48"/>
      <c r="J26" s="59"/>
      <c r="K26" s="59"/>
      <c r="L26" s="17">
        <f>1000/8</f>
        <v>125</v>
      </c>
      <c r="M26" s="17">
        <f t="shared" ref="M26:S26" si="14">1000/8</f>
        <v>125</v>
      </c>
      <c r="N26" s="17">
        <f t="shared" si="14"/>
        <v>125</v>
      </c>
      <c r="O26" s="17">
        <f t="shared" si="14"/>
        <v>125</v>
      </c>
      <c r="P26" s="17">
        <f t="shared" si="14"/>
        <v>125</v>
      </c>
      <c r="Q26" s="17">
        <f t="shared" si="14"/>
        <v>125</v>
      </c>
      <c r="R26" s="17">
        <f t="shared" si="14"/>
        <v>125</v>
      </c>
      <c r="S26" s="17">
        <f t="shared" si="14"/>
        <v>125</v>
      </c>
      <c r="T26" s="43"/>
      <c r="U26" s="55">
        <f t="shared" si="10"/>
        <v>1000</v>
      </c>
      <c r="V26" s="11">
        <f t="shared" si="11"/>
        <v>0</v>
      </c>
    </row>
    <row r="27" spans="1:22" ht="38.25" x14ac:dyDescent="0.25">
      <c r="A27" s="2" t="s">
        <v>51</v>
      </c>
      <c r="B27" s="3" t="s">
        <v>52</v>
      </c>
      <c r="C27" s="11">
        <v>20000000</v>
      </c>
      <c r="D27" s="12"/>
      <c r="E27" s="13"/>
      <c r="F27" s="13"/>
      <c r="G27" s="14"/>
      <c r="H27" s="27">
        <f t="shared" si="8"/>
        <v>20000000</v>
      </c>
      <c r="I27" s="48"/>
      <c r="J27" s="59"/>
      <c r="K27" s="59"/>
      <c r="L27" s="17">
        <f>20000000/8</f>
        <v>2500000</v>
      </c>
      <c r="M27" s="17">
        <f t="shared" ref="M27:S27" si="15">20000000/8</f>
        <v>2500000</v>
      </c>
      <c r="N27" s="17">
        <f t="shared" si="15"/>
        <v>2500000</v>
      </c>
      <c r="O27" s="17">
        <f t="shared" si="15"/>
        <v>2500000</v>
      </c>
      <c r="P27" s="17">
        <f t="shared" si="15"/>
        <v>2500000</v>
      </c>
      <c r="Q27" s="17">
        <f t="shared" si="15"/>
        <v>2500000</v>
      </c>
      <c r="R27" s="17">
        <f t="shared" si="15"/>
        <v>2500000</v>
      </c>
      <c r="S27" s="17">
        <f t="shared" si="15"/>
        <v>2500000</v>
      </c>
      <c r="T27" s="43"/>
      <c r="U27" s="55">
        <f t="shared" si="10"/>
        <v>20000000</v>
      </c>
      <c r="V27" s="11">
        <f t="shared" si="11"/>
        <v>0</v>
      </c>
    </row>
    <row r="28" spans="1:22" ht="38.25" x14ac:dyDescent="0.25">
      <c r="A28" s="2" t="s">
        <v>53</v>
      </c>
      <c r="B28" s="3" t="s">
        <v>54</v>
      </c>
      <c r="C28" s="11">
        <v>2300000</v>
      </c>
      <c r="D28" s="12"/>
      <c r="E28" s="13"/>
      <c r="F28" s="13"/>
      <c r="G28" s="14"/>
      <c r="H28" s="27">
        <f t="shared" si="8"/>
        <v>2300000</v>
      </c>
      <c r="I28" s="48"/>
      <c r="J28" s="59"/>
      <c r="K28" s="59"/>
      <c r="L28" s="17"/>
      <c r="M28" s="17"/>
      <c r="N28" s="17"/>
      <c r="O28" s="17">
        <f>2300000/5</f>
        <v>460000</v>
      </c>
      <c r="P28" s="17">
        <f t="shared" ref="P28:S28" si="16">2300000/5</f>
        <v>460000</v>
      </c>
      <c r="Q28" s="17">
        <f t="shared" si="16"/>
        <v>460000</v>
      </c>
      <c r="R28" s="17">
        <f t="shared" si="16"/>
        <v>460000</v>
      </c>
      <c r="S28" s="17">
        <f t="shared" si="16"/>
        <v>460000</v>
      </c>
      <c r="T28" s="43"/>
      <c r="U28" s="55">
        <f t="shared" si="10"/>
        <v>2300000</v>
      </c>
      <c r="V28" s="11">
        <f t="shared" si="11"/>
        <v>0</v>
      </c>
    </row>
    <row r="29" spans="1:22" ht="38.25" x14ac:dyDescent="0.25">
      <c r="A29" s="2" t="s">
        <v>55</v>
      </c>
      <c r="B29" s="3" t="s">
        <v>56</v>
      </c>
      <c r="C29" s="11">
        <v>200000</v>
      </c>
      <c r="D29" s="12"/>
      <c r="E29" s="13"/>
      <c r="F29" s="13"/>
      <c r="G29" s="14"/>
      <c r="H29" s="27">
        <f t="shared" si="8"/>
        <v>200000</v>
      </c>
      <c r="I29" s="48"/>
      <c r="J29" s="59"/>
      <c r="K29" s="59"/>
      <c r="L29" s="17">
        <f>200000/8</f>
        <v>25000</v>
      </c>
      <c r="M29" s="17">
        <f t="shared" ref="M29:S29" si="17">200000/8</f>
        <v>25000</v>
      </c>
      <c r="N29" s="17">
        <f t="shared" si="17"/>
        <v>25000</v>
      </c>
      <c r="O29" s="17">
        <f t="shared" si="17"/>
        <v>25000</v>
      </c>
      <c r="P29" s="17">
        <f t="shared" si="17"/>
        <v>25000</v>
      </c>
      <c r="Q29" s="17">
        <f t="shared" si="17"/>
        <v>25000</v>
      </c>
      <c r="R29" s="17">
        <f t="shared" si="17"/>
        <v>25000</v>
      </c>
      <c r="S29" s="17">
        <f t="shared" si="17"/>
        <v>25000</v>
      </c>
      <c r="T29" s="43"/>
      <c r="U29" s="55">
        <f t="shared" si="10"/>
        <v>200000</v>
      </c>
      <c r="V29" s="11">
        <f t="shared" si="11"/>
        <v>0</v>
      </c>
    </row>
    <row r="30" spans="1:22" ht="38.25" x14ac:dyDescent="0.25">
      <c r="A30" s="2" t="s">
        <v>57</v>
      </c>
      <c r="B30" s="3" t="s">
        <v>58</v>
      </c>
      <c r="C30" s="11">
        <v>1500000</v>
      </c>
      <c r="D30" s="12"/>
      <c r="E30" s="13"/>
      <c r="F30" s="13"/>
      <c r="G30" s="14"/>
      <c r="H30" s="27">
        <f t="shared" si="8"/>
        <v>1500000</v>
      </c>
      <c r="I30" s="48">
        <v>146251</v>
      </c>
      <c r="J30" s="59">
        <v>114597</v>
      </c>
      <c r="K30" s="59">
        <v>100257.5</v>
      </c>
      <c r="L30" s="17">
        <f>1138894/9</f>
        <v>126543.77777777778</v>
      </c>
      <c r="M30" s="17">
        <f t="shared" ref="M30:T30" si="18">1138895/9</f>
        <v>126543.88888888889</v>
      </c>
      <c r="N30" s="17">
        <f t="shared" si="18"/>
        <v>126543.88888888889</v>
      </c>
      <c r="O30" s="17">
        <f t="shared" si="18"/>
        <v>126543.88888888889</v>
      </c>
      <c r="P30" s="17">
        <f t="shared" si="18"/>
        <v>126543.88888888889</v>
      </c>
      <c r="Q30" s="17">
        <f t="shared" si="18"/>
        <v>126543.88888888889</v>
      </c>
      <c r="R30" s="17">
        <f t="shared" si="18"/>
        <v>126543.88888888889</v>
      </c>
      <c r="S30" s="17">
        <f t="shared" si="18"/>
        <v>126543.88888888889</v>
      </c>
      <c r="T30" s="17">
        <f t="shared" si="18"/>
        <v>126543.88888888889</v>
      </c>
      <c r="U30" s="55">
        <f t="shared" si="10"/>
        <v>1500000.3888888892</v>
      </c>
      <c r="V30" s="11">
        <f t="shared" si="11"/>
        <v>-0.38888888922519982</v>
      </c>
    </row>
    <row r="31" spans="1:22" ht="51" x14ac:dyDescent="0.25">
      <c r="A31" s="2" t="s">
        <v>79</v>
      </c>
      <c r="B31" s="3" t="s">
        <v>80</v>
      </c>
      <c r="C31" s="11">
        <v>0</v>
      </c>
      <c r="D31" s="12">
        <v>1075935</v>
      </c>
      <c r="E31" s="13"/>
      <c r="F31" s="13"/>
      <c r="G31" s="14"/>
      <c r="H31" s="27">
        <f t="shared" si="8"/>
        <v>1075935</v>
      </c>
      <c r="I31" s="48"/>
      <c r="J31" s="59"/>
      <c r="K31" s="59"/>
      <c r="L31" s="17">
        <f>1075935/9</f>
        <v>119548.33333333333</v>
      </c>
      <c r="M31" s="17">
        <f t="shared" ref="M31:T31" si="19">1075935/9</f>
        <v>119548.33333333333</v>
      </c>
      <c r="N31" s="17">
        <f t="shared" si="19"/>
        <v>119548.33333333333</v>
      </c>
      <c r="O31" s="17">
        <f t="shared" si="19"/>
        <v>119548.33333333333</v>
      </c>
      <c r="P31" s="17">
        <f t="shared" si="19"/>
        <v>119548.33333333333</v>
      </c>
      <c r="Q31" s="17">
        <f t="shared" si="19"/>
        <v>119548.33333333333</v>
      </c>
      <c r="R31" s="17">
        <f t="shared" si="19"/>
        <v>119548.33333333333</v>
      </c>
      <c r="S31" s="17">
        <f t="shared" si="19"/>
        <v>119548.33333333333</v>
      </c>
      <c r="T31" s="17">
        <f t="shared" si="19"/>
        <v>119548.33333333333</v>
      </c>
      <c r="U31" s="55">
        <f t="shared" si="10"/>
        <v>1075935</v>
      </c>
      <c r="V31" s="11">
        <f t="shared" si="11"/>
        <v>0</v>
      </c>
    </row>
    <row r="32" spans="1:22" ht="38.25" x14ac:dyDescent="0.25">
      <c r="A32" s="2" t="s">
        <v>59</v>
      </c>
      <c r="B32" s="3" t="s">
        <v>60</v>
      </c>
      <c r="C32" s="11">
        <v>5000000</v>
      </c>
      <c r="D32" s="12"/>
      <c r="E32" s="13"/>
      <c r="F32" s="13"/>
      <c r="G32" s="14"/>
      <c r="H32" s="27">
        <f t="shared" si="8"/>
        <v>5000000</v>
      </c>
      <c r="I32" s="48"/>
      <c r="J32" s="59"/>
      <c r="K32" s="59"/>
      <c r="L32" s="17">
        <f>5000000/8</f>
        <v>625000</v>
      </c>
      <c r="M32" s="17">
        <f t="shared" ref="M32:S32" si="20">5000000/8</f>
        <v>625000</v>
      </c>
      <c r="N32" s="17">
        <f t="shared" si="20"/>
        <v>625000</v>
      </c>
      <c r="O32" s="17">
        <f t="shared" si="20"/>
        <v>625000</v>
      </c>
      <c r="P32" s="17">
        <f t="shared" si="20"/>
        <v>625000</v>
      </c>
      <c r="Q32" s="17">
        <f t="shared" si="20"/>
        <v>625000</v>
      </c>
      <c r="R32" s="17">
        <f t="shared" si="20"/>
        <v>625000</v>
      </c>
      <c r="S32" s="17">
        <f t="shared" si="20"/>
        <v>625000</v>
      </c>
      <c r="T32" s="43"/>
      <c r="U32" s="55">
        <f t="shared" si="10"/>
        <v>5000000</v>
      </c>
      <c r="V32" s="11">
        <f t="shared" si="11"/>
        <v>0</v>
      </c>
    </row>
    <row r="33" spans="1:22" ht="38.25" x14ac:dyDescent="0.25">
      <c r="A33" s="2" t="s">
        <v>61</v>
      </c>
      <c r="B33" s="3" t="s">
        <v>62</v>
      </c>
      <c r="C33" s="11">
        <v>24000000</v>
      </c>
      <c r="D33" s="12"/>
      <c r="E33" s="13"/>
      <c r="F33" s="13"/>
      <c r="G33" s="14"/>
      <c r="H33" s="27">
        <f t="shared" si="8"/>
        <v>24000000</v>
      </c>
      <c r="I33" s="48"/>
      <c r="J33" s="59"/>
      <c r="K33" s="59"/>
      <c r="L33" s="17">
        <f>24000000/8</f>
        <v>3000000</v>
      </c>
      <c r="M33" s="17">
        <f t="shared" ref="M33:S33" si="21">24000000/8</f>
        <v>3000000</v>
      </c>
      <c r="N33" s="17">
        <f t="shared" si="21"/>
        <v>3000000</v>
      </c>
      <c r="O33" s="17">
        <f t="shared" si="21"/>
        <v>3000000</v>
      </c>
      <c r="P33" s="17">
        <f t="shared" si="21"/>
        <v>3000000</v>
      </c>
      <c r="Q33" s="17">
        <f t="shared" si="21"/>
        <v>3000000</v>
      </c>
      <c r="R33" s="17">
        <f t="shared" si="21"/>
        <v>3000000</v>
      </c>
      <c r="S33" s="17">
        <f t="shared" si="21"/>
        <v>3000000</v>
      </c>
      <c r="T33" s="43"/>
      <c r="U33" s="55">
        <f t="shared" si="10"/>
        <v>24000000</v>
      </c>
      <c r="V33" s="11">
        <f t="shared" si="11"/>
        <v>0</v>
      </c>
    </row>
    <row r="34" spans="1:22" ht="51" x14ac:dyDescent="0.25">
      <c r="A34" s="2" t="s">
        <v>81</v>
      </c>
      <c r="B34" s="3" t="s">
        <v>82</v>
      </c>
      <c r="C34" s="11">
        <v>0</v>
      </c>
      <c r="D34" s="12">
        <v>8000000</v>
      </c>
      <c r="E34" s="13"/>
      <c r="F34" s="13"/>
      <c r="G34" s="14"/>
      <c r="H34" s="27">
        <f t="shared" si="8"/>
        <v>8000000</v>
      </c>
      <c r="I34" s="48"/>
      <c r="J34" s="59"/>
      <c r="K34" s="59">
        <v>2000000</v>
      </c>
      <c r="L34" s="17">
        <f>6000000/8</f>
        <v>750000</v>
      </c>
      <c r="M34" s="17">
        <f t="shared" ref="M34:S34" si="22">6000000/8</f>
        <v>750000</v>
      </c>
      <c r="N34" s="17">
        <f t="shared" si="22"/>
        <v>750000</v>
      </c>
      <c r="O34" s="17">
        <f t="shared" si="22"/>
        <v>750000</v>
      </c>
      <c r="P34" s="17">
        <f t="shared" si="22"/>
        <v>750000</v>
      </c>
      <c r="Q34" s="17">
        <f t="shared" si="22"/>
        <v>750000</v>
      </c>
      <c r="R34" s="17">
        <f t="shared" si="22"/>
        <v>750000</v>
      </c>
      <c r="S34" s="17">
        <f t="shared" si="22"/>
        <v>750000</v>
      </c>
      <c r="T34" s="43"/>
      <c r="U34" s="55">
        <f t="shared" si="10"/>
        <v>8000000</v>
      </c>
      <c r="V34" s="11">
        <f t="shared" si="11"/>
        <v>0</v>
      </c>
    </row>
    <row r="35" spans="1:22" ht="38.25" x14ac:dyDescent="0.25">
      <c r="A35" s="2" t="s">
        <v>63</v>
      </c>
      <c r="B35" s="3" t="s">
        <v>64</v>
      </c>
      <c r="C35" s="11">
        <v>7200000</v>
      </c>
      <c r="D35" s="12"/>
      <c r="E35" s="13"/>
      <c r="F35" s="13"/>
      <c r="G35" s="14"/>
      <c r="H35" s="27">
        <f t="shared" si="8"/>
        <v>7200000</v>
      </c>
      <c r="I35" s="48"/>
      <c r="J35" s="59"/>
      <c r="K35" s="59"/>
      <c r="L35" s="17"/>
      <c r="M35" s="17"/>
      <c r="N35" s="17"/>
      <c r="O35" s="17">
        <f>7200000/5</f>
        <v>1440000</v>
      </c>
      <c r="P35" s="17">
        <f t="shared" ref="P35:S35" si="23">7200000/5</f>
        <v>1440000</v>
      </c>
      <c r="Q35" s="17">
        <f t="shared" si="23"/>
        <v>1440000</v>
      </c>
      <c r="R35" s="17">
        <f t="shared" si="23"/>
        <v>1440000</v>
      </c>
      <c r="S35" s="17">
        <f t="shared" si="23"/>
        <v>1440000</v>
      </c>
      <c r="T35" s="43"/>
      <c r="U35" s="55">
        <f t="shared" si="10"/>
        <v>7200000</v>
      </c>
      <c r="V35" s="11">
        <f t="shared" si="11"/>
        <v>0</v>
      </c>
    </row>
    <row r="36" spans="1:22" ht="38.25" x14ac:dyDescent="0.25">
      <c r="A36" s="2" t="s">
        <v>65</v>
      </c>
      <c r="B36" s="3" t="s">
        <v>66</v>
      </c>
      <c r="C36" s="11">
        <v>8500000</v>
      </c>
      <c r="D36" s="12"/>
      <c r="E36" s="13"/>
      <c r="F36" s="13"/>
      <c r="G36" s="14"/>
      <c r="H36" s="27">
        <f t="shared" si="8"/>
        <v>8500000</v>
      </c>
      <c r="I36" s="48"/>
      <c r="J36" s="59"/>
      <c r="K36" s="59"/>
      <c r="L36" s="17">
        <f>8500000/8</f>
        <v>1062500</v>
      </c>
      <c r="M36" s="17">
        <f t="shared" ref="M36:S36" si="24">8500000/8</f>
        <v>1062500</v>
      </c>
      <c r="N36" s="17">
        <f t="shared" si="24"/>
        <v>1062500</v>
      </c>
      <c r="O36" s="17">
        <f t="shared" si="24"/>
        <v>1062500</v>
      </c>
      <c r="P36" s="17">
        <f t="shared" si="24"/>
        <v>1062500</v>
      </c>
      <c r="Q36" s="17">
        <f t="shared" si="24"/>
        <v>1062500</v>
      </c>
      <c r="R36" s="17">
        <f t="shared" si="24"/>
        <v>1062500</v>
      </c>
      <c r="S36" s="17">
        <f t="shared" si="24"/>
        <v>1062500</v>
      </c>
      <c r="T36" s="43"/>
      <c r="U36" s="55">
        <f t="shared" si="10"/>
        <v>8500000</v>
      </c>
      <c r="V36" s="11">
        <f t="shared" si="11"/>
        <v>0</v>
      </c>
    </row>
    <row r="37" spans="1:22" ht="38.25" x14ac:dyDescent="0.25">
      <c r="A37" s="2" t="s">
        <v>67</v>
      </c>
      <c r="B37" s="3" t="s">
        <v>68</v>
      </c>
      <c r="C37" s="11">
        <v>4800000</v>
      </c>
      <c r="D37" s="12"/>
      <c r="E37" s="13"/>
      <c r="F37" s="13"/>
      <c r="G37" s="14"/>
      <c r="H37" s="27">
        <f t="shared" si="8"/>
        <v>4800000</v>
      </c>
      <c r="I37" s="48"/>
      <c r="J37" s="59"/>
      <c r="K37" s="59"/>
      <c r="L37" s="17">
        <f>4800000/8</f>
        <v>600000</v>
      </c>
      <c r="M37" s="17">
        <f t="shared" ref="M37:S37" si="25">4800000/8</f>
        <v>600000</v>
      </c>
      <c r="N37" s="17">
        <f t="shared" si="25"/>
        <v>600000</v>
      </c>
      <c r="O37" s="17">
        <f t="shared" si="25"/>
        <v>600000</v>
      </c>
      <c r="P37" s="17">
        <f t="shared" si="25"/>
        <v>600000</v>
      </c>
      <c r="Q37" s="17">
        <f t="shared" si="25"/>
        <v>600000</v>
      </c>
      <c r="R37" s="17">
        <f t="shared" si="25"/>
        <v>600000</v>
      </c>
      <c r="S37" s="17">
        <f t="shared" si="25"/>
        <v>600000</v>
      </c>
      <c r="T37" s="43"/>
      <c r="U37" s="55">
        <f t="shared" si="10"/>
        <v>4800000</v>
      </c>
      <c r="V37" s="11">
        <f t="shared" si="11"/>
        <v>0</v>
      </c>
    </row>
    <row r="38" spans="1:22" ht="38.25" x14ac:dyDescent="0.25">
      <c r="A38" s="2" t="s">
        <v>69</v>
      </c>
      <c r="B38" s="3" t="s">
        <v>70</v>
      </c>
      <c r="C38" s="11">
        <v>6500000</v>
      </c>
      <c r="D38" s="12"/>
      <c r="E38" s="13"/>
      <c r="F38" s="13"/>
      <c r="G38" s="14"/>
      <c r="H38" s="27">
        <f t="shared" si="8"/>
        <v>6500000</v>
      </c>
      <c r="I38" s="48"/>
      <c r="J38" s="59"/>
      <c r="K38" s="59"/>
      <c r="L38" s="17">
        <f>6500000/9</f>
        <v>722222.22222222225</v>
      </c>
      <c r="M38" s="17">
        <f t="shared" ref="M38:T38" si="26">6500000/9</f>
        <v>722222.22222222225</v>
      </c>
      <c r="N38" s="17">
        <f t="shared" si="26"/>
        <v>722222.22222222225</v>
      </c>
      <c r="O38" s="17">
        <f t="shared" si="26"/>
        <v>722222.22222222225</v>
      </c>
      <c r="P38" s="17">
        <f t="shared" si="26"/>
        <v>722222.22222222225</v>
      </c>
      <c r="Q38" s="17">
        <f t="shared" si="26"/>
        <v>722222.22222222225</v>
      </c>
      <c r="R38" s="17">
        <f t="shared" si="26"/>
        <v>722222.22222222225</v>
      </c>
      <c r="S38" s="17">
        <f t="shared" si="26"/>
        <v>722222.22222222225</v>
      </c>
      <c r="T38" s="17">
        <f t="shared" si="26"/>
        <v>722222.22222222225</v>
      </c>
      <c r="U38" s="55">
        <f t="shared" si="10"/>
        <v>6499999.9999999991</v>
      </c>
      <c r="V38" s="11">
        <f t="shared" si="11"/>
        <v>0</v>
      </c>
    </row>
    <row r="39" spans="1:22" ht="51" x14ac:dyDescent="0.25">
      <c r="A39" s="2" t="s">
        <v>71</v>
      </c>
      <c r="B39" s="3" t="s">
        <v>72</v>
      </c>
      <c r="C39" s="11">
        <v>1000</v>
      </c>
      <c r="D39" s="12">
        <v>6546317</v>
      </c>
      <c r="E39" s="13"/>
      <c r="F39" s="13"/>
      <c r="G39" s="14"/>
      <c r="H39" s="27">
        <f t="shared" si="8"/>
        <v>6547317</v>
      </c>
      <c r="I39" s="48">
        <v>46945</v>
      </c>
      <c r="J39" s="59">
        <v>1308030</v>
      </c>
      <c r="K39" s="59">
        <v>765517</v>
      </c>
      <c r="L39" s="17">
        <f>4426825/9</f>
        <v>491869.44444444444</v>
      </c>
      <c r="M39" s="17">
        <f t="shared" ref="M39:T39" si="27">4426825/9</f>
        <v>491869.44444444444</v>
      </c>
      <c r="N39" s="17">
        <f t="shared" si="27"/>
        <v>491869.44444444444</v>
      </c>
      <c r="O39" s="17">
        <f t="shared" si="27"/>
        <v>491869.44444444444</v>
      </c>
      <c r="P39" s="17">
        <f t="shared" si="27"/>
        <v>491869.44444444444</v>
      </c>
      <c r="Q39" s="17">
        <f t="shared" si="27"/>
        <v>491869.44444444444</v>
      </c>
      <c r="R39" s="17">
        <f t="shared" si="27"/>
        <v>491869.44444444444</v>
      </c>
      <c r="S39" s="17">
        <f t="shared" si="27"/>
        <v>491869.44444444444</v>
      </c>
      <c r="T39" s="17">
        <f t="shared" si="27"/>
        <v>491869.44444444444</v>
      </c>
      <c r="U39" s="55">
        <f t="shared" si="10"/>
        <v>6547316.9999999981</v>
      </c>
      <c r="V39" s="11">
        <f t="shared" si="11"/>
        <v>0</v>
      </c>
    </row>
    <row r="40" spans="1:22" ht="38.25" x14ac:dyDescent="0.25">
      <c r="A40" s="2" t="s">
        <v>73</v>
      </c>
      <c r="B40" s="3" t="s">
        <v>74</v>
      </c>
      <c r="C40" s="11">
        <v>1000</v>
      </c>
      <c r="D40" s="12"/>
      <c r="E40" s="13"/>
      <c r="F40" s="13"/>
      <c r="G40" s="14"/>
      <c r="H40" s="27">
        <f t="shared" si="8"/>
        <v>1000</v>
      </c>
      <c r="I40" s="48"/>
      <c r="J40" s="59"/>
      <c r="K40" s="59"/>
      <c r="L40" s="17">
        <f>1000/9</f>
        <v>111.11111111111111</v>
      </c>
      <c r="M40" s="17">
        <f t="shared" ref="M40:T40" si="28">1000/9</f>
        <v>111.11111111111111</v>
      </c>
      <c r="N40" s="17">
        <f t="shared" si="28"/>
        <v>111.11111111111111</v>
      </c>
      <c r="O40" s="17">
        <f t="shared" si="28"/>
        <v>111.11111111111111</v>
      </c>
      <c r="P40" s="17">
        <f t="shared" si="28"/>
        <v>111.11111111111111</v>
      </c>
      <c r="Q40" s="17">
        <f t="shared" si="28"/>
        <v>111.11111111111111</v>
      </c>
      <c r="R40" s="17">
        <f t="shared" si="28"/>
        <v>111.11111111111111</v>
      </c>
      <c r="S40" s="17">
        <f t="shared" si="28"/>
        <v>111.11111111111111</v>
      </c>
      <c r="T40" s="17">
        <f t="shared" si="28"/>
        <v>111.11111111111111</v>
      </c>
      <c r="U40" s="55">
        <f t="shared" si="10"/>
        <v>999.99999999999989</v>
      </c>
      <c r="V40" s="11">
        <f t="shared" si="11"/>
        <v>0</v>
      </c>
    </row>
    <row r="41" spans="1:22" ht="13.5" thickBot="1" x14ac:dyDescent="0.3">
      <c r="A41" s="6"/>
      <c r="B41" s="7"/>
      <c r="C41" s="19"/>
      <c r="D41" s="20"/>
      <c r="E41" s="21"/>
      <c r="F41" s="21"/>
      <c r="G41" s="22"/>
      <c r="H41" s="40"/>
      <c r="I41" s="50"/>
      <c r="J41" s="61"/>
      <c r="K41" s="61"/>
      <c r="L41" s="35"/>
      <c r="M41" s="35"/>
      <c r="N41" s="35"/>
      <c r="O41" s="35"/>
      <c r="P41" s="35"/>
      <c r="Q41" s="35"/>
      <c r="R41" s="35"/>
      <c r="S41" s="35"/>
      <c r="T41" s="44"/>
      <c r="U41" s="56"/>
      <c r="V41" s="19"/>
    </row>
    <row r="42" spans="1:22" ht="13.5" thickBot="1" x14ac:dyDescent="0.3">
      <c r="A42" s="135" t="s">
        <v>26</v>
      </c>
      <c r="B42" s="136"/>
      <c r="C42" s="23">
        <f t="shared" ref="C42:V42" si="29">SUM(C22:C41)</f>
        <v>112503000</v>
      </c>
      <c r="D42" s="24">
        <f t="shared" si="29"/>
        <v>51561812</v>
      </c>
      <c r="E42" s="25">
        <f t="shared" si="29"/>
        <v>0</v>
      </c>
      <c r="F42" s="25">
        <f t="shared" si="29"/>
        <v>0</v>
      </c>
      <c r="G42" s="26">
        <f t="shared" si="29"/>
        <v>0</v>
      </c>
      <c r="H42" s="23">
        <f t="shared" si="29"/>
        <v>164064812</v>
      </c>
      <c r="I42" s="37">
        <f t="shared" si="29"/>
        <v>193196</v>
      </c>
      <c r="J42" s="38">
        <f t="shared" si="29"/>
        <v>1422627</v>
      </c>
      <c r="K42" s="38">
        <f t="shared" si="29"/>
        <v>2865774.5</v>
      </c>
      <c r="L42" s="38">
        <f t="shared" si="29"/>
        <v>16265364.88888889</v>
      </c>
      <c r="M42" s="38">
        <f t="shared" si="29"/>
        <v>16265365</v>
      </c>
      <c r="N42" s="38">
        <f t="shared" si="29"/>
        <v>16265365</v>
      </c>
      <c r="O42" s="38">
        <f t="shared" si="29"/>
        <v>21865365.000000004</v>
      </c>
      <c r="P42" s="38">
        <f t="shared" si="29"/>
        <v>21865365.000000004</v>
      </c>
      <c r="Q42" s="38">
        <f t="shared" si="29"/>
        <v>21865365.000000004</v>
      </c>
      <c r="R42" s="38">
        <f t="shared" si="29"/>
        <v>21865365.000000004</v>
      </c>
      <c r="S42" s="38">
        <f t="shared" si="29"/>
        <v>21865365.000000004</v>
      </c>
      <c r="T42" s="39">
        <f t="shared" si="29"/>
        <v>1460295</v>
      </c>
      <c r="U42" s="57">
        <f t="shared" si="29"/>
        <v>164064812.3888889</v>
      </c>
      <c r="V42" s="23">
        <f t="shared" si="29"/>
        <v>-0.38888888922519982</v>
      </c>
    </row>
  </sheetData>
  <mergeCells count="67">
    <mergeCell ref="V20:V21"/>
    <mergeCell ref="A42:B42"/>
    <mergeCell ref="P20:P21"/>
    <mergeCell ref="Q20:Q21"/>
    <mergeCell ref="R20:R21"/>
    <mergeCell ref="S20:S21"/>
    <mergeCell ref="T20:T21"/>
    <mergeCell ref="U20:U21"/>
    <mergeCell ref="J20:J21"/>
    <mergeCell ref="K20:K21"/>
    <mergeCell ref="L20:L21"/>
    <mergeCell ref="M20:M21"/>
    <mergeCell ref="N20:N21"/>
    <mergeCell ref="O20:O21"/>
    <mergeCell ref="A20:A21"/>
    <mergeCell ref="B20:B21"/>
    <mergeCell ref="C20:C21"/>
    <mergeCell ref="D20:G20"/>
    <mergeCell ref="H20:H21"/>
    <mergeCell ref="I20:I21"/>
    <mergeCell ref="D16:E16"/>
    <mergeCell ref="F16:G16"/>
    <mergeCell ref="A17:B17"/>
    <mergeCell ref="D17:E17"/>
    <mergeCell ref="F17:G17"/>
    <mergeCell ref="A19:V19"/>
    <mergeCell ref="D13:E13"/>
    <mergeCell ref="F13:G13"/>
    <mergeCell ref="D14:E14"/>
    <mergeCell ref="F14:G14"/>
    <mergeCell ref="D15:E15"/>
    <mergeCell ref="F15:G15"/>
    <mergeCell ref="D10:E10"/>
    <mergeCell ref="F10:G10"/>
    <mergeCell ref="D11:E11"/>
    <mergeCell ref="F11:G11"/>
    <mergeCell ref="D12:E12"/>
    <mergeCell ref="F12:G12"/>
    <mergeCell ref="D9:E9"/>
    <mergeCell ref="F9:G9"/>
    <mergeCell ref="P6:P7"/>
    <mergeCell ref="Q6:Q7"/>
    <mergeCell ref="R6:R7"/>
    <mergeCell ref="J6:J7"/>
    <mergeCell ref="K6:K7"/>
    <mergeCell ref="L6:L7"/>
    <mergeCell ref="M6:M7"/>
    <mergeCell ref="N6:N7"/>
    <mergeCell ref="O6:O7"/>
    <mergeCell ref="D7:E7"/>
    <mergeCell ref="F7:G7"/>
    <mergeCell ref="D8:E8"/>
    <mergeCell ref="F8:G8"/>
    <mergeCell ref="A1:V1"/>
    <mergeCell ref="A2:V2"/>
    <mergeCell ref="A3:V3"/>
    <mergeCell ref="A5:V5"/>
    <mergeCell ref="A6:A7"/>
    <mergeCell ref="B6:B7"/>
    <mergeCell ref="C6:C7"/>
    <mergeCell ref="D6:G6"/>
    <mergeCell ref="H6:H7"/>
    <mergeCell ref="I6:I7"/>
    <mergeCell ref="V6:V7"/>
    <mergeCell ref="S6:S7"/>
    <mergeCell ref="T6:T7"/>
    <mergeCell ref="U6:U7"/>
  </mergeCells>
  <printOptions horizontalCentered="1" verticalCentered="1"/>
  <pageMargins left="0.39370078740157483" right="0.39370078740157483" top="0.39370078740157483" bottom="0.59055118110236227" header="0.39370078740157483" footer="0.39370078740157483"/>
  <pageSetup paperSize="258" scale="75" orientation="landscape" r:id="rId1"/>
  <headerFooter>
    <oddFooter>&amp;L&amp;F&amp;C&amp;A&amp;R&amp;P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zoomScaleNormal="100" workbookViewId="0">
      <selection activeCell="M9" sqref="M9:T9"/>
    </sheetView>
  </sheetViews>
  <sheetFormatPr baseColWidth="10" defaultColWidth="11.42578125" defaultRowHeight="12.75" x14ac:dyDescent="0.25"/>
  <cols>
    <col min="1" max="1" width="6.7109375" style="1" customWidth="1"/>
    <col min="2" max="2" width="11.85546875" style="1" customWidth="1"/>
    <col min="3" max="3" width="11.85546875" style="109" customWidth="1"/>
    <col min="4" max="4" width="10.85546875" style="109" customWidth="1"/>
    <col min="5" max="7" width="3.7109375" style="109" customWidth="1"/>
    <col min="8" max="8" width="11.85546875" style="109" customWidth="1"/>
    <col min="9" max="10" width="10.85546875" style="109" customWidth="1"/>
    <col min="11" max="12" width="9.7109375" style="109" customWidth="1"/>
    <col min="13" max="19" width="10.85546875" style="109" customWidth="1"/>
    <col min="20" max="20" width="9.7109375" style="109" customWidth="1"/>
    <col min="21" max="21" width="11.85546875" style="109" customWidth="1"/>
    <col min="22" max="22" width="3.7109375" style="109" customWidth="1"/>
    <col min="23" max="23" width="11.5703125" style="1" bestFit="1" customWidth="1"/>
    <col min="24" max="16384" width="11.42578125" style="1"/>
  </cols>
  <sheetData>
    <row r="1" spans="1:22" ht="13.15" x14ac:dyDescent="0.3">
      <c r="A1" s="124" t="s">
        <v>27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</row>
    <row r="2" spans="1:22" ht="13.15" x14ac:dyDescent="0.3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22" ht="13.15" x14ac:dyDescent="0.3">
      <c r="A3" s="124" t="s">
        <v>28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</row>
    <row r="5" spans="1:22" ht="13.9" thickBot="1" x14ac:dyDescent="0.35">
      <c r="A5" s="124" t="s">
        <v>1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</row>
    <row r="6" spans="1:22" x14ac:dyDescent="0.25">
      <c r="A6" s="125" t="s">
        <v>2</v>
      </c>
      <c r="B6" s="127" t="s">
        <v>3</v>
      </c>
      <c r="C6" s="154" t="s">
        <v>4</v>
      </c>
      <c r="D6" s="162" t="s">
        <v>5</v>
      </c>
      <c r="E6" s="163"/>
      <c r="F6" s="163"/>
      <c r="G6" s="164"/>
      <c r="H6" s="154" t="s">
        <v>8</v>
      </c>
      <c r="I6" s="165" t="s">
        <v>9</v>
      </c>
      <c r="J6" s="156" t="s">
        <v>10</v>
      </c>
      <c r="K6" s="156" t="s">
        <v>11</v>
      </c>
      <c r="L6" s="156" t="s">
        <v>12</v>
      </c>
      <c r="M6" s="156" t="s">
        <v>13</v>
      </c>
      <c r="N6" s="156" t="s">
        <v>14</v>
      </c>
      <c r="O6" s="156" t="s">
        <v>15</v>
      </c>
      <c r="P6" s="156" t="s">
        <v>16</v>
      </c>
      <c r="Q6" s="156" t="s">
        <v>17</v>
      </c>
      <c r="R6" s="156" t="s">
        <v>18</v>
      </c>
      <c r="S6" s="156" t="s">
        <v>19</v>
      </c>
      <c r="T6" s="181" t="s">
        <v>20</v>
      </c>
      <c r="U6" s="154" t="s">
        <v>21</v>
      </c>
      <c r="V6" s="154" t="s">
        <v>22</v>
      </c>
    </row>
    <row r="7" spans="1:22" ht="13.5" thickBot="1" x14ac:dyDescent="0.3">
      <c r="A7" s="126"/>
      <c r="B7" s="128"/>
      <c r="C7" s="155"/>
      <c r="D7" s="175" t="s">
        <v>6</v>
      </c>
      <c r="E7" s="176"/>
      <c r="F7" s="176" t="s">
        <v>7</v>
      </c>
      <c r="G7" s="177"/>
      <c r="H7" s="155"/>
      <c r="I7" s="166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82"/>
      <c r="U7" s="155"/>
      <c r="V7" s="155"/>
    </row>
    <row r="8" spans="1:22" ht="132" x14ac:dyDescent="0.3">
      <c r="A8" s="2" t="s">
        <v>29</v>
      </c>
      <c r="B8" s="3" t="s">
        <v>30</v>
      </c>
      <c r="C8" s="64">
        <v>3000000</v>
      </c>
      <c r="D8" s="178"/>
      <c r="E8" s="179"/>
      <c r="F8" s="179"/>
      <c r="G8" s="180"/>
      <c r="H8" s="65">
        <f>C8+D8-F8</f>
        <v>3000000</v>
      </c>
      <c r="I8" s="66"/>
      <c r="J8" s="67">
        <v>0</v>
      </c>
      <c r="K8" s="67">
        <v>0</v>
      </c>
      <c r="L8" s="67"/>
      <c r="M8" s="68">
        <f>3000000/7</f>
        <v>428571.42857142858</v>
      </c>
      <c r="N8" s="68">
        <f t="shared" ref="N8:S8" si="0">3000000/7</f>
        <v>428571.42857142858</v>
      </c>
      <c r="O8" s="68">
        <f t="shared" si="0"/>
        <v>428571.42857142858</v>
      </c>
      <c r="P8" s="68">
        <f t="shared" si="0"/>
        <v>428571.42857142858</v>
      </c>
      <c r="Q8" s="68">
        <f t="shared" si="0"/>
        <v>428571.42857142858</v>
      </c>
      <c r="R8" s="68">
        <f t="shared" si="0"/>
        <v>428571.42857142858</v>
      </c>
      <c r="S8" s="68">
        <f t="shared" si="0"/>
        <v>428571.42857142858</v>
      </c>
      <c r="T8" s="69"/>
      <c r="U8" s="64">
        <f>SUM(I8:T8)</f>
        <v>3000000</v>
      </c>
      <c r="V8" s="64">
        <f>H8-U8</f>
        <v>0</v>
      </c>
    </row>
    <row r="9" spans="1:22" ht="66" x14ac:dyDescent="0.3">
      <c r="A9" s="4" t="s">
        <v>31</v>
      </c>
      <c r="B9" s="5" t="s">
        <v>32</v>
      </c>
      <c r="C9" s="70">
        <v>3300000</v>
      </c>
      <c r="D9" s="172"/>
      <c r="E9" s="173"/>
      <c r="F9" s="173"/>
      <c r="G9" s="174"/>
      <c r="H9" s="71">
        <f t="shared" ref="H9:H16" si="1">C9+D9-F9</f>
        <v>3300000</v>
      </c>
      <c r="I9" s="72">
        <v>407000</v>
      </c>
      <c r="J9" s="73">
        <v>204500</v>
      </c>
      <c r="K9" s="73">
        <v>139000</v>
      </c>
      <c r="L9" s="73">
        <v>42000</v>
      </c>
      <c r="M9" s="74">
        <f>2507500/8</f>
        <v>313437.5</v>
      </c>
      <c r="N9" s="74">
        <f t="shared" ref="N9:T9" si="2">2507500/8</f>
        <v>313437.5</v>
      </c>
      <c r="O9" s="74">
        <f t="shared" si="2"/>
        <v>313437.5</v>
      </c>
      <c r="P9" s="74">
        <f t="shared" si="2"/>
        <v>313437.5</v>
      </c>
      <c r="Q9" s="74">
        <f t="shared" si="2"/>
        <v>313437.5</v>
      </c>
      <c r="R9" s="74">
        <f t="shared" si="2"/>
        <v>313437.5</v>
      </c>
      <c r="S9" s="74">
        <f t="shared" si="2"/>
        <v>313437.5</v>
      </c>
      <c r="T9" s="74">
        <f t="shared" si="2"/>
        <v>313437.5</v>
      </c>
      <c r="U9" s="70">
        <f t="shared" ref="U9:U16" si="3">SUM(I9:T9)</f>
        <v>3300000</v>
      </c>
      <c r="V9" s="70">
        <f t="shared" ref="V9:V16" si="4">H9-U9</f>
        <v>0</v>
      </c>
    </row>
    <row r="10" spans="1:22" ht="39.6" x14ac:dyDescent="0.3">
      <c r="A10" s="4" t="s">
        <v>33</v>
      </c>
      <c r="B10" s="5" t="s">
        <v>34</v>
      </c>
      <c r="C10" s="70">
        <v>78000000</v>
      </c>
      <c r="D10" s="172"/>
      <c r="E10" s="173"/>
      <c r="F10" s="173"/>
      <c r="G10" s="174"/>
      <c r="H10" s="71">
        <f t="shared" si="1"/>
        <v>78000000</v>
      </c>
      <c r="I10" s="72"/>
      <c r="J10" s="73">
        <v>62478528</v>
      </c>
      <c r="K10" s="73"/>
      <c r="L10" s="73"/>
      <c r="M10" s="74">
        <v>15521472</v>
      </c>
      <c r="N10" s="74"/>
      <c r="O10" s="74"/>
      <c r="P10" s="74"/>
      <c r="Q10" s="74"/>
      <c r="R10" s="74"/>
      <c r="S10" s="74"/>
      <c r="T10" s="75"/>
      <c r="U10" s="70">
        <f t="shared" si="3"/>
        <v>78000000</v>
      </c>
      <c r="V10" s="70">
        <f t="shared" si="4"/>
        <v>0</v>
      </c>
    </row>
    <row r="11" spans="1:22" ht="39.6" x14ac:dyDescent="0.3">
      <c r="A11" s="4" t="s">
        <v>35</v>
      </c>
      <c r="B11" s="5" t="s">
        <v>36</v>
      </c>
      <c r="C11" s="70">
        <v>28000000</v>
      </c>
      <c r="D11" s="172"/>
      <c r="E11" s="173"/>
      <c r="F11" s="173"/>
      <c r="G11" s="174"/>
      <c r="H11" s="71">
        <f t="shared" si="1"/>
        <v>28000000</v>
      </c>
      <c r="I11" s="72"/>
      <c r="J11" s="73"/>
      <c r="K11" s="73"/>
      <c r="L11" s="73"/>
      <c r="M11" s="74"/>
      <c r="N11" s="74"/>
      <c r="O11" s="74">
        <v>28000000</v>
      </c>
      <c r="P11" s="74"/>
      <c r="Q11" s="74"/>
      <c r="R11" s="74"/>
      <c r="S11" s="74"/>
      <c r="T11" s="75"/>
      <c r="U11" s="70">
        <f t="shared" si="3"/>
        <v>28000000</v>
      </c>
      <c r="V11" s="70">
        <f t="shared" si="4"/>
        <v>0</v>
      </c>
    </row>
    <row r="12" spans="1:22" ht="25.5" x14ac:dyDescent="0.25">
      <c r="A12" s="4" t="s">
        <v>37</v>
      </c>
      <c r="B12" s="5" t="s">
        <v>38</v>
      </c>
      <c r="C12" s="70">
        <v>200000</v>
      </c>
      <c r="D12" s="172"/>
      <c r="E12" s="173"/>
      <c r="F12" s="173"/>
      <c r="G12" s="174"/>
      <c r="H12" s="71">
        <f t="shared" si="1"/>
        <v>200000</v>
      </c>
      <c r="I12" s="72">
        <v>1100</v>
      </c>
      <c r="J12" s="73">
        <v>1787</v>
      </c>
      <c r="K12" s="73">
        <v>6206</v>
      </c>
      <c r="L12" s="63">
        <v>5859</v>
      </c>
      <c r="M12" s="74">
        <f>185048/8</f>
        <v>23131</v>
      </c>
      <c r="N12" s="74">
        <f t="shared" ref="N12:T12" si="5">185048/8</f>
        <v>23131</v>
      </c>
      <c r="O12" s="74">
        <f t="shared" si="5"/>
        <v>23131</v>
      </c>
      <c r="P12" s="74">
        <f t="shared" si="5"/>
        <v>23131</v>
      </c>
      <c r="Q12" s="74">
        <f t="shared" si="5"/>
        <v>23131</v>
      </c>
      <c r="R12" s="74">
        <f t="shared" si="5"/>
        <v>23131</v>
      </c>
      <c r="S12" s="74">
        <f t="shared" si="5"/>
        <v>23131</v>
      </c>
      <c r="T12" s="74">
        <f t="shared" si="5"/>
        <v>23131</v>
      </c>
      <c r="U12" s="70">
        <f t="shared" si="3"/>
        <v>200000</v>
      </c>
      <c r="V12" s="70">
        <f t="shared" si="4"/>
        <v>0</v>
      </c>
    </row>
    <row r="13" spans="1:22" ht="25.5" x14ac:dyDescent="0.25">
      <c r="A13" s="6" t="s">
        <v>39</v>
      </c>
      <c r="B13" s="7" t="s">
        <v>40</v>
      </c>
      <c r="C13" s="76">
        <v>1000</v>
      </c>
      <c r="D13" s="172">
        <v>1075935</v>
      </c>
      <c r="E13" s="173"/>
      <c r="F13" s="173"/>
      <c r="G13" s="174"/>
      <c r="H13" s="71">
        <f t="shared" si="1"/>
        <v>1076935</v>
      </c>
      <c r="I13" s="77">
        <v>1075935</v>
      </c>
      <c r="J13" s="78"/>
      <c r="K13" s="78"/>
      <c r="L13" s="78"/>
      <c r="M13" s="79">
        <v>1000</v>
      </c>
      <c r="N13" s="79"/>
      <c r="O13" s="79"/>
      <c r="P13" s="79"/>
      <c r="Q13" s="79"/>
      <c r="R13" s="79"/>
      <c r="S13" s="79"/>
      <c r="T13" s="80"/>
      <c r="U13" s="70">
        <f t="shared" si="3"/>
        <v>1076935</v>
      </c>
      <c r="V13" s="70">
        <f t="shared" si="4"/>
        <v>0</v>
      </c>
    </row>
    <row r="14" spans="1:22" ht="25.5" x14ac:dyDescent="0.25">
      <c r="A14" s="6" t="s">
        <v>41</v>
      </c>
      <c r="B14" s="7" t="s">
        <v>42</v>
      </c>
      <c r="C14" s="76">
        <v>1000</v>
      </c>
      <c r="D14" s="172">
        <v>30546317</v>
      </c>
      <c r="E14" s="173"/>
      <c r="F14" s="173"/>
      <c r="G14" s="174"/>
      <c r="H14" s="71">
        <f t="shared" si="1"/>
        <v>30547317</v>
      </c>
      <c r="I14" s="77">
        <v>30546317</v>
      </c>
      <c r="J14" s="78"/>
      <c r="K14" s="78"/>
      <c r="L14" s="78"/>
      <c r="M14" s="79">
        <v>1000</v>
      </c>
      <c r="N14" s="79"/>
      <c r="O14" s="79"/>
      <c r="P14" s="79"/>
      <c r="Q14" s="79"/>
      <c r="R14" s="79"/>
      <c r="S14" s="79"/>
      <c r="T14" s="80"/>
      <c r="U14" s="70">
        <f t="shared" si="3"/>
        <v>30547317</v>
      </c>
      <c r="V14" s="70">
        <f t="shared" si="4"/>
        <v>0</v>
      </c>
    </row>
    <row r="15" spans="1:22" ht="25.5" x14ac:dyDescent="0.25">
      <c r="A15" s="6" t="s">
        <v>43</v>
      </c>
      <c r="B15" s="7" t="s">
        <v>44</v>
      </c>
      <c r="C15" s="76">
        <v>1000</v>
      </c>
      <c r="D15" s="172">
        <v>19939560</v>
      </c>
      <c r="E15" s="173"/>
      <c r="F15" s="173"/>
      <c r="G15" s="174"/>
      <c r="H15" s="71">
        <f t="shared" si="1"/>
        <v>19940560</v>
      </c>
      <c r="I15" s="77">
        <v>19939560</v>
      </c>
      <c r="J15" s="78"/>
      <c r="K15" s="78"/>
      <c r="L15" s="78"/>
      <c r="M15" s="79">
        <v>1000</v>
      </c>
      <c r="N15" s="79"/>
      <c r="O15" s="79"/>
      <c r="P15" s="79"/>
      <c r="Q15" s="79"/>
      <c r="R15" s="79"/>
      <c r="S15" s="79"/>
      <c r="T15" s="80"/>
      <c r="U15" s="70">
        <f t="shared" si="3"/>
        <v>19940560</v>
      </c>
      <c r="V15" s="70">
        <f t="shared" si="4"/>
        <v>0</v>
      </c>
    </row>
    <row r="16" spans="1:22" ht="13.5" thickBot="1" x14ac:dyDescent="0.3">
      <c r="A16" s="6"/>
      <c r="B16" s="7"/>
      <c r="C16" s="76"/>
      <c r="D16" s="167"/>
      <c r="E16" s="168"/>
      <c r="F16" s="168"/>
      <c r="G16" s="169"/>
      <c r="H16" s="71">
        <f t="shared" si="1"/>
        <v>0</v>
      </c>
      <c r="I16" s="81"/>
      <c r="J16" s="82"/>
      <c r="K16" s="82"/>
      <c r="L16" s="82"/>
      <c r="M16" s="83"/>
      <c r="N16" s="83"/>
      <c r="O16" s="83"/>
      <c r="P16" s="83"/>
      <c r="Q16" s="83"/>
      <c r="R16" s="83"/>
      <c r="S16" s="83"/>
      <c r="T16" s="84"/>
      <c r="U16" s="70">
        <f t="shared" si="3"/>
        <v>0</v>
      </c>
      <c r="V16" s="70">
        <f t="shared" si="4"/>
        <v>0</v>
      </c>
    </row>
    <row r="17" spans="1:22" ht="13.5" thickBot="1" x14ac:dyDescent="0.3">
      <c r="A17" s="135" t="s">
        <v>26</v>
      </c>
      <c r="B17" s="136"/>
      <c r="C17" s="85">
        <f>SUM(C8:C16)</f>
        <v>112503000</v>
      </c>
      <c r="D17" s="170">
        <f>SUM(D8:E16)</f>
        <v>51561812</v>
      </c>
      <c r="E17" s="171"/>
      <c r="F17" s="170">
        <f>SUM(F8:G16)</f>
        <v>0</v>
      </c>
      <c r="G17" s="171"/>
      <c r="H17" s="85">
        <f t="shared" ref="H17:V17" si="6">SUM(H8:H16)</f>
        <v>164064812</v>
      </c>
      <c r="I17" s="86">
        <f t="shared" si="6"/>
        <v>51969912</v>
      </c>
      <c r="J17" s="87">
        <f t="shared" si="6"/>
        <v>62684815</v>
      </c>
      <c r="K17" s="87">
        <f t="shared" si="6"/>
        <v>145206</v>
      </c>
      <c r="L17" s="87">
        <f t="shared" si="6"/>
        <v>47859</v>
      </c>
      <c r="M17" s="87">
        <f t="shared" si="6"/>
        <v>16289611.928571429</v>
      </c>
      <c r="N17" s="87">
        <f t="shared" si="6"/>
        <v>765139.92857142864</v>
      </c>
      <c r="O17" s="87">
        <f t="shared" si="6"/>
        <v>28765139.928571429</v>
      </c>
      <c r="P17" s="87">
        <f t="shared" si="6"/>
        <v>765139.92857142864</v>
      </c>
      <c r="Q17" s="87">
        <f t="shared" si="6"/>
        <v>765139.92857142864</v>
      </c>
      <c r="R17" s="87">
        <f t="shared" si="6"/>
        <v>765139.92857142864</v>
      </c>
      <c r="S17" s="87">
        <f t="shared" si="6"/>
        <v>765139.92857142864</v>
      </c>
      <c r="T17" s="88">
        <f t="shared" si="6"/>
        <v>336568.5</v>
      </c>
      <c r="U17" s="85">
        <f t="shared" si="6"/>
        <v>164064812</v>
      </c>
      <c r="V17" s="85">
        <f t="shared" si="6"/>
        <v>0</v>
      </c>
    </row>
    <row r="19" spans="1:22" ht="13.5" thickBot="1" x14ac:dyDescent="0.3">
      <c r="A19" s="124" t="s">
        <v>23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</row>
    <row r="20" spans="1:22" x14ac:dyDescent="0.25">
      <c r="A20" s="133" t="s">
        <v>2</v>
      </c>
      <c r="B20" s="127" t="s">
        <v>3</v>
      </c>
      <c r="C20" s="154" t="s">
        <v>4</v>
      </c>
      <c r="D20" s="162" t="s">
        <v>5</v>
      </c>
      <c r="E20" s="163"/>
      <c r="F20" s="163"/>
      <c r="G20" s="164"/>
      <c r="H20" s="154" t="s">
        <v>8</v>
      </c>
      <c r="I20" s="165" t="s">
        <v>9</v>
      </c>
      <c r="J20" s="156" t="s">
        <v>10</v>
      </c>
      <c r="K20" s="156" t="s">
        <v>11</v>
      </c>
      <c r="L20" s="156" t="s">
        <v>12</v>
      </c>
      <c r="M20" s="156" t="s">
        <v>13</v>
      </c>
      <c r="N20" s="156" t="s">
        <v>14</v>
      </c>
      <c r="O20" s="156" t="s">
        <v>15</v>
      </c>
      <c r="P20" s="156" t="s">
        <v>16</v>
      </c>
      <c r="Q20" s="156" t="s">
        <v>17</v>
      </c>
      <c r="R20" s="156" t="s">
        <v>18</v>
      </c>
      <c r="S20" s="156" t="s">
        <v>19</v>
      </c>
      <c r="T20" s="158" t="s">
        <v>20</v>
      </c>
      <c r="U20" s="160" t="s">
        <v>21</v>
      </c>
      <c r="V20" s="154" t="s">
        <v>22</v>
      </c>
    </row>
    <row r="21" spans="1:22" ht="90" thickBot="1" x14ac:dyDescent="0.3">
      <c r="A21" s="149"/>
      <c r="B21" s="128"/>
      <c r="C21" s="155"/>
      <c r="D21" s="89" t="s">
        <v>6</v>
      </c>
      <c r="E21" s="90" t="s">
        <v>7</v>
      </c>
      <c r="F21" s="90" t="s">
        <v>24</v>
      </c>
      <c r="G21" s="91" t="s">
        <v>25</v>
      </c>
      <c r="H21" s="155"/>
      <c r="I21" s="166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9"/>
      <c r="U21" s="161"/>
      <c r="V21" s="155"/>
    </row>
    <row r="22" spans="1:22" ht="51" x14ac:dyDescent="0.25">
      <c r="A22" s="2" t="s">
        <v>75</v>
      </c>
      <c r="B22" s="3" t="s">
        <v>76</v>
      </c>
      <c r="C22" s="64">
        <v>0</v>
      </c>
      <c r="D22" s="92">
        <v>19939560</v>
      </c>
      <c r="E22" s="93"/>
      <c r="F22" s="93"/>
      <c r="G22" s="94"/>
      <c r="H22" s="65">
        <f>C22+D22-E22+F22-G22</f>
        <v>19939560</v>
      </c>
      <c r="I22" s="66"/>
      <c r="J22" s="67"/>
      <c r="K22" s="67"/>
      <c r="L22" s="67"/>
      <c r="M22" s="68">
        <f>19939560/7</f>
        <v>2848508.5714285714</v>
      </c>
      <c r="N22" s="68">
        <f t="shared" ref="N22:S22" si="7">19939560/7</f>
        <v>2848508.5714285714</v>
      </c>
      <c r="O22" s="68">
        <f t="shared" si="7"/>
        <v>2848508.5714285714</v>
      </c>
      <c r="P22" s="68">
        <f t="shared" si="7"/>
        <v>2848508.5714285714</v>
      </c>
      <c r="Q22" s="68">
        <f t="shared" si="7"/>
        <v>2848508.5714285714</v>
      </c>
      <c r="R22" s="68">
        <f t="shared" si="7"/>
        <v>2848508.5714285714</v>
      </c>
      <c r="S22" s="68">
        <f t="shared" si="7"/>
        <v>2848508.5714285714</v>
      </c>
      <c r="T22" s="69"/>
      <c r="U22" s="95">
        <f>SUM(I22:T22)</f>
        <v>19939560</v>
      </c>
      <c r="V22" s="64">
        <f>H22-U22</f>
        <v>0</v>
      </c>
    </row>
    <row r="23" spans="1:22" ht="51" x14ac:dyDescent="0.25">
      <c r="A23" s="2" t="s">
        <v>45</v>
      </c>
      <c r="B23" s="3" t="s">
        <v>46</v>
      </c>
      <c r="C23" s="64">
        <v>18500000</v>
      </c>
      <c r="D23" s="92"/>
      <c r="E23" s="93"/>
      <c r="F23" s="93"/>
      <c r="G23" s="94"/>
      <c r="H23" s="65">
        <f t="shared" ref="H23:H40" si="8">C23+D23-E23+F23-G23</f>
        <v>18500000</v>
      </c>
      <c r="I23" s="96"/>
      <c r="J23" s="97"/>
      <c r="K23" s="97"/>
      <c r="L23" s="97"/>
      <c r="M23" s="93"/>
      <c r="N23" s="93"/>
      <c r="O23" s="93">
        <f>18500000/5</f>
        <v>3700000</v>
      </c>
      <c r="P23" s="93">
        <f t="shared" ref="P23:S23" si="9">18500000/5</f>
        <v>3700000</v>
      </c>
      <c r="Q23" s="93">
        <f t="shared" si="9"/>
        <v>3700000</v>
      </c>
      <c r="R23" s="93">
        <f t="shared" si="9"/>
        <v>3700000</v>
      </c>
      <c r="S23" s="93">
        <f t="shared" si="9"/>
        <v>3700000</v>
      </c>
      <c r="T23" s="98"/>
      <c r="U23" s="99">
        <f t="shared" ref="U23:U40" si="10">SUM(I23:T23)</f>
        <v>18500000</v>
      </c>
      <c r="V23" s="64">
        <f t="shared" ref="V23:V40" si="11">H23-U23</f>
        <v>0</v>
      </c>
    </row>
    <row r="24" spans="1:22" ht="51" x14ac:dyDescent="0.25">
      <c r="A24" s="2" t="s">
        <v>77</v>
      </c>
      <c r="B24" s="3" t="s">
        <v>78</v>
      </c>
      <c r="C24" s="64">
        <v>0</v>
      </c>
      <c r="D24" s="92">
        <v>16000000</v>
      </c>
      <c r="E24" s="93"/>
      <c r="F24" s="93"/>
      <c r="G24" s="94"/>
      <c r="H24" s="65">
        <f t="shared" si="8"/>
        <v>16000000</v>
      </c>
      <c r="I24" s="96"/>
      <c r="J24" s="97"/>
      <c r="K24" s="97"/>
      <c r="L24" s="97"/>
      <c r="M24" s="93">
        <f>16000000/7</f>
        <v>2285714.2857142859</v>
      </c>
      <c r="N24" s="93">
        <f t="shared" ref="N24:S24" si="12">16000000/7</f>
        <v>2285714.2857142859</v>
      </c>
      <c r="O24" s="93">
        <f t="shared" si="12"/>
        <v>2285714.2857142859</v>
      </c>
      <c r="P24" s="93">
        <f t="shared" si="12"/>
        <v>2285714.2857142859</v>
      </c>
      <c r="Q24" s="93">
        <f t="shared" si="12"/>
        <v>2285714.2857142859</v>
      </c>
      <c r="R24" s="93">
        <f t="shared" si="12"/>
        <v>2285714.2857142859</v>
      </c>
      <c r="S24" s="93">
        <f t="shared" si="12"/>
        <v>2285714.2857142859</v>
      </c>
      <c r="T24" s="98"/>
      <c r="U24" s="99">
        <f t="shared" si="10"/>
        <v>16000000</v>
      </c>
      <c r="V24" s="64">
        <f t="shared" si="11"/>
        <v>0</v>
      </c>
    </row>
    <row r="25" spans="1:22" ht="38.25" x14ac:dyDescent="0.25">
      <c r="A25" s="2" t="s">
        <v>47</v>
      </c>
      <c r="B25" s="3" t="s">
        <v>48</v>
      </c>
      <c r="C25" s="64">
        <v>14000000</v>
      </c>
      <c r="D25" s="92"/>
      <c r="E25" s="93"/>
      <c r="F25" s="93"/>
      <c r="G25" s="94"/>
      <c r="H25" s="65">
        <f t="shared" si="8"/>
        <v>14000000</v>
      </c>
      <c r="I25" s="72"/>
      <c r="J25" s="73"/>
      <c r="K25" s="73"/>
      <c r="L25" s="73"/>
      <c r="M25" s="74">
        <f>14000000/7</f>
        <v>2000000</v>
      </c>
      <c r="N25" s="74">
        <f t="shared" ref="N25:S25" si="13">14000000/7</f>
        <v>2000000</v>
      </c>
      <c r="O25" s="74">
        <f t="shared" si="13"/>
        <v>2000000</v>
      </c>
      <c r="P25" s="74">
        <f t="shared" si="13"/>
        <v>2000000</v>
      </c>
      <c r="Q25" s="74">
        <f t="shared" si="13"/>
        <v>2000000</v>
      </c>
      <c r="R25" s="74">
        <f t="shared" si="13"/>
        <v>2000000</v>
      </c>
      <c r="S25" s="74">
        <f t="shared" si="13"/>
        <v>2000000</v>
      </c>
      <c r="T25" s="75"/>
      <c r="U25" s="99">
        <f t="shared" si="10"/>
        <v>14000000</v>
      </c>
      <c r="V25" s="64">
        <f t="shared" si="11"/>
        <v>0</v>
      </c>
    </row>
    <row r="26" spans="1:22" ht="51" x14ac:dyDescent="0.25">
      <c r="A26" s="2" t="s">
        <v>49</v>
      </c>
      <c r="B26" s="3" t="s">
        <v>50</v>
      </c>
      <c r="C26" s="64">
        <v>1000</v>
      </c>
      <c r="D26" s="92"/>
      <c r="E26" s="93"/>
      <c r="F26" s="93"/>
      <c r="G26" s="94"/>
      <c r="H26" s="65">
        <f t="shared" si="8"/>
        <v>1000</v>
      </c>
      <c r="I26" s="72"/>
      <c r="J26" s="73"/>
      <c r="K26" s="73"/>
      <c r="L26" s="73"/>
      <c r="M26" s="74">
        <f>1000/7</f>
        <v>142.85714285714286</v>
      </c>
      <c r="N26" s="74">
        <f t="shared" ref="N26:S26" si="14">1000/7</f>
        <v>142.85714285714286</v>
      </c>
      <c r="O26" s="74">
        <f t="shared" si="14"/>
        <v>142.85714285714286</v>
      </c>
      <c r="P26" s="74">
        <f t="shared" si="14"/>
        <v>142.85714285714286</v>
      </c>
      <c r="Q26" s="74">
        <f t="shared" si="14"/>
        <v>142.85714285714286</v>
      </c>
      <c r="R26" s="74">
        <f t="shared" si="14"/>
        <v>142.85714285714286</v>
      </c>
      <c r="S26" s="74">
        <f t="shared" si="14"/>
        <v>142.85714285714286</v>
      </c>
      <c r="T26" s="75"/>
      <c r="U26" s="99">
        <f t="shared" si="10"/>
        <v>1000.0000000000001</v>
      </c>
      <c r="V26" s="64">
        <f t="shared" si="11"/>
        <v>0</v>
      </c>
    </row>
    <row r="27" spans="1:22" ht="38.25" x14ac:dyDescent="0.25">
      <c r="A27" s="2" t="s">
        <v>51</v>
      </c>
      <c r="B27" s="3" t="s">
        <v>52</v>
      </c>
      <c r="C27" s="64">
        <v>20000000</v>
      </c>
      <c r="D27" s="92"/>
      <c r="E27" s="93"/>
      <c r="F27" s="93"/>
      <c r="G27" s="94"/>
      <c r="H27" s="65">
        <f t="shared" si="8"/>
        <v>20000000</v>
      </c>
      <c r="I27" s="72"/>
      <c r="J27" s="73"/>
      <c r="K27" s="73"/>
      <c r="L27" s="73"/>
      <c r="M27" s="74">
        <f>20000000/7</f>
        <v>2857142.8571428573</v>
      </c>
      <c r="N27" s="74">
        <f t="shared" ref="N27:S27" si="15">20000000/7</f>
        <v>2857142.8571428573</v>
      </c>
      <c r="O27" s="74">
        <f t="shared" si="15"/>
        <v>2857142.8571428573</v>
      </c>
      <c r="P27" s="74">
        <f t="shared" si="15"/>
        <v>2857142.8571428573</v>
      </c>
      <c r="Q27" s="74">
        <f t="shared" si="15"/>
        <v>2857142.8571428573</v>
      </c>
      <c r="R27" s="74">
        <f t="shared" si="15"/>
        <v>2857142.8571428573</v>
      </c>
      <c r="S27" s="74">
        <f t="shared" si="15"/>
        <v>2857142.8571428573</v>
      </c>
      <c r="T27" s="75"/>
      <c r="U27" s="99">
        <f t="shared" si="10"/>
        <v>20000000.000000004</v>
      </c>
      <c r="V27" s="64">
        <f t="shared" si="11"/>
        <v>0</v>
      </c>
    </row>
    <row r="28" spans="1:22" ht="38.25" x14ac:dyDescent="0.25">
      <c r="A28" s="2" t="s">
        <v>53</v>
      </c>
      <c r="B28" s="3" t="s">
        <v>54</v>
      </c>
      <c r="C28" s="64">
        <v>2300000</v>
      </c>
      <c r="D28" s="92"/>
      <c r="E28" s="93"/>
      <c r="F28" s="93"/>
      <c r="G28" s="94"/>
      <c r="H28" s="65">
        <f t="shared" si="8"/>
        <v>2300000</v>
      </c>
      <c r="I28" s="72"/>
      <c r="J28" s="73"/>
      <c r="K28" s="73"/>
      <c r="L28" s="73"/>
      <c r="M28" s="74"/>
      <c r="N28" s="74"/>
      <c r="O28" s="74">
        <f>2300000/5</f>
        <v>460000</v>
      </c>
      <c r="P28" s="74">
        <f t="shared" ref="P28:S28" si="16">2300000/5</f>
        <v>460000</v>
      </c>
      <c r="Q28" s="74">
        <f t="shared" si="16"/>
        <v>460000</v>
      </c>
      <c r="R28" s="74">
        <f t="shared" si="16"/>
        <v>460000</v>
      </c>
      <c r="S28" s="74">
        <f t="shared" si="16"/>
        <v>460000</v>
      </c>
      <c r="T28" s="75"/>
      <c r="U28" s="99">
        <f t="shared" si="10"/>
        <v>2300000</v>
      </c>
      <c r="V28" s="64">
        <f t="shared" si="11"/>
        <v>0</v>
      </c>
    </row>
    <row r="29" spans="1:22" ht="38.25" x14ac:dyDescent="0.25">
      <c r="A29" s="2" t="s">
        <v>55</v>
      </c>
      <c r="B29" s="3" t="s">
        <v>56</v>
      </c>
      <c r="C29" s="64">
        <v>200000</v>
      </c>
      <c r="D29" s="92"/>
      <c r="E29" s="93"/>
      <c r="F29" s="93"/>
      <c r="G29" s="94"/>
      <c r="H29" s="65">
        <f t="shared" si="8"/>
        <v>200000</v>
      </c>
      <c r="I29" s="72"/>
      <c r="J29" s="73"/>
      <c r="K29" s="73"/>
      <c r="L29" s="73"/>
      <c r="M29" s="74">
        <f>200000/7</f>
        <v>28571.428571428572</v>
      </c>
      <c r="N29" s="74">
        <f t="shared" ref="N29:S29" si="17">200000/7</f>
        <v>28571.428571428572</v>
      </c>
      <c r="O29" s="74">
        <f t="shared" si="17"/>
        <v>28571.428571428572</v>
      </c>
      <c r="P29" s="74">
        <f t="shared" si="17"/>
        <v>28571.428571428572</v>
      </c>
      <c r="Q29" s="74">
        <f t="shared" si="17"/>
        <v>28571.428571428572</v>
      </c>
      <c r="R29" s="74">
        <f t="shared" si="17"/>
        <v>28571.428571428572</v>
      </c>
      <c r="S29" s="74">
        <f t="shared" si="17"/>
        <v>28571.428571428572</v>
      </c>
      <c r="T29" s="75"/>
      <c r="U29" s="99">
        <f t="shared" si="10"/>
        <v>200000.00000000003</v>
      </c>
      <c r="V29" s="64">
        <f t="shared" si="11"/>
        <v>0</v>
      </c>
    </row>
    <row r="30" spans="1:22" ht="38.25" x14ac:dyDescent="0.25">
      <c r="A30" s="2" t="s">
        <v>57</v>
      </c>
      <c r="B30" s="3" t="s">
        <v>58</v>
      </c>
      <c r="C30" s="64">
        <v>1500000</v>
      </c>
      <c r="D30" s="92"/>
      <c r="E30" s="93"/>
      <c r="F30" s="93"/>
      <c r="G30" s="94"/>
      <c r="H30" s="65">
        <f t="shared" si="8"/>
        <v>1500000</v>
      </c>
      <c r="I30" s="72">
        <v>146251</v>
      </c>
      <c r="J30" s="73">
        <v>114597</v>
      </c>
      <c r="K30" s="73">
        <v>100257</v>
      </c>
      <c r="L30" s="73"/>
      <c r="M30" s="74">
        <f>1138895/8</f>
        <v>142361.875</v>
      </c>
      <c r="N30" s="74">
        <f t="shared" ref="N30:T30" si="18">1138895/8</f>
        <v>142361.875</v>
      </c>
      <c r="O30" s="74">
        <f t="shared" si="18"/>
        <v>142361.875</v>
      </c>
      <c r="P30" s="74">
        <f t="shared" si="18"/>
        <v>142361.875</v>
      </c>
      <c r="Q30" s="74">
        <f t="shared" si="18"/>
        <v>142361.875</v>
      </c>
      <c r="R30" s="74">
        <f t="shared" si="18"/>
        <v>142361.875</v>
      </c>
      <c r="S30" s="74">
        <f t="shared" si="18"/>
        <v>142361.875</v>
      </c>
      <c r="T30" s="74">
        <f t="shared" si="18"/>
        <v>142361.875</v>
      </c>
      <c r="U30" s="99">
        <f t="shared" si="10"/>
        <v>1500000</v>
      </c>
      <c r="V30" s="64">
        <f t="shared" si="11"/>
        <v>0</v>
      </c>
    </row>
    <row r="31" spans="1:22" ht="51" x14ac:dyDescent="0.25">
      <c r="A31" s="2" t="s">
        <v>79</v>
      </c>
      <c r="B31" s="3" t="s">
        <v>80</v>
      </c>
      <c r="C31" s="64">
        <v>0</v>
      </c>
      <c r="D31" s="92">
        <v>1075935</v>
      </c>
      <c r="E31" s="93"/>
      <c r="F31" s="93"/>
      <c r="G31" s="94"/>
      <c r="H31" s="65">
        <f t="shared" si="8"/>
        <v>1075935</v>
      </c>
      <c r="I31" s="72"/>
      <c r="J31" s="73"/>
      <c r="K31" s="73"/>
      <c r="L31" s="63">
        <v>82943</v>
      </c>
      <c r="M31" s="74">
        <f>992992/8</f>
        <v>124124</v>
      </c>
      <c r="N31" s="74">
        <f t="shared" ref="N31:T31" si="19">992992/8</f>
        <v>124124</v>
      </c>
      <c r="O31" s="74">
        <f t="shared" si="19"/>
        <v>124124</v>
      </c>
      <c r="P31" s="74">
        <f t="shared" si="19"/>
        <v>124124</v>
      </c>
      <c r="Q31" s="74">
        <f t="shared" si="19"/>
        <v>124124</v>
      </c>
      <c r="R31" s="74">
        <f t="shared" si="19"/>
        <v>124124</v>
      </c>
      <c r="S31" s="74">
        <f t="shared" si="19"/>
        <v>124124</v>
      </c>
      <c r="T31" s="74">
        <f t="shared" si="19"/>
        <v>124124</v>
      </c>
      <c r="U31" s="99">
        <f t="shared" si="10"/>
        <v>1075935</v>
      </c>
      <c r="V31" s="64">
        <f t="shared" si="11"/>
        <v>0</v>
      </c>
    </row>
    <row r="32" spans="1:22" ht="38.25" x14ac:dyDescent="0.25">
      <c r="A32" s="2" t="s">
        <v>59</v>
      </c>
      <c r="B32" s="3" t="s">
        <v>60</v>
      </c>
      <c r="C32" s="64">
        <v>5000000</v>
      </c>
      <c r="D32" s="92"/>
      <c r="E32" s="93"/>
      <c r="F32" s="93"/>
      <c r="G32" s="94"/>
      <c r="H32" s="65">
        <f t="shared" si="8"/>
        <v>5000000</v>
      </c>
      <c r="I32" s="72"/>
      <c r="J32" s="73"/>
      <c r="K32" s="73"/>
      <c r="L32" s="73"/>
      <c r="M32" s="74">
        <f>5000000/7</f>
        <v>714285.71428571432</v>
      </c>
      <c r="N32" s="74">
        <f t="shared" ref="N32:S32" si="20">5000000/7</f>
        <v>714285.71428571432</v>
      </c>
      <c r="O32" s="74">
        <f t="shared" si="20"/>
        <v>714285.71428571432</v>
      </c>
      <c r="P32" s="74">
        <f t="shared" si="20"/>
        <v>714285.71428571432</v>
      </c>
      <c r="Q32" s="74">
        <f t="shared" si="20"/>
        <v>714285.71428571432</v>
      </c>
      <c r="R32" s="74">
        <f t="shared" si="20"/>
        <v>714285.71428571432</v>
      </c>
      <c r="S32" s="74">
        <f t="shared" si="20"/>
        <v>714285.71428571432</v>
      </c>
      <c r="T32" s="75"/>
      <c r="U32" s="99">
        <f t="shared" si="10"/>
        <v>5000000.0000000009</v>
      </c>
      <c r="V32" s="64">
        <f t="shared" si="11"/>
        <v>0</v>
      </c>
    </row>
    <row r="33" spans="1:22" ht="38.25" x14ac:dyDescent="0.25">
      <c r="A33" s="2" t="s">
        <v>61</v>
      </c>
      <c r="B33" s="3" t="s">
        <v>62</v>
      </c>
      <c r="C33" s="64">
        <v>24000000</v>
      </c>
      <c r="D33" s="92"/>
      <c r="E33" s="93"/>
      <c r="F33" s="93"/>
      <c r="G33" s="94"/>
      <c r="H33" s="65">
        <f t="shared" si="8"/>
        <v>24000000</v>
      </c>
      <c r="I33" s="72"/>
      <c r="J33" s="73"/>
      <c r="K33" s="73"/>
      <c r="L33" s="73"/>
      <c r="M33" s="74">
        <f>24000000/7</f>
        <v>3428571.4285714286</v>
      </c>
      <c r="N33" s="74">
        <f t="shared" ref="N33:S33" si="21">24000000/7</f>
        <v>3428571.4285714286</v>
      </c>
      <c r="O33" s="74">
        <f t="shared" si="21"/>
        <v>3428571.4285714286</v>
      </c>
      <c r="P33" s="74">
        <f t="shared" si="21"/>
        <v>3428571.4285714286</v>
      </c>
      <c r="Q33" s="74">
        <f t="shared" si="21"/>
        <v>3428571.4285714286</v>
      </c>
      <c r="R33" s="74">
        <f t="shared" si="21"/>
        <v>3428571.4285714286</v>
      </c>
      <c r="S33" s="74">
        <f t="shared" si="21"/>
        <v>3428571.4285714286</v>
      </c>
      <c r="T33" s="75"/>
      <c r="U33" s="99">
        <f t="shared" si="10"/>
        <v>24000000</v>
      </c>
      <c r="V33" s="64">
        <f t="shared" si="11"/>
        <v>0</v>
      </c>
    </row>
    <row r="34" spans="1:22" ht="51" x14ac:dyDescent="0.25">
      <c r="A34" s="2" t="s">
        <v>81</v>
      </c>
      <c r="B34" s="3" t="s">
        <v>82</v>
      </c>
      <c r="C34" s="64">
        <v>0</v>
      </c>
      <c r="D34" s="92">
        <v>8000000</v>
      </c>
      <c r="E34" s="93"/>
      <c r="F34" s="93"/>
      <c r="G34" s="94"/>
      <c r="H34" s="65">
        <f t="shared" si="8"/>
        <v>8000000</v>
      </c>
      <c r="I34" s="72"/>
      <c r="J34" s="73"/>
      <c r="K34" s="73">
        <v>2000000</v>
      </c>
      <c r="L34" s="63">
        <v>2000000</v>
      </c>
      <c r="M34" s="74">
        <f>4000000/7</f>
        <v>571428.57142857148</v>
      </c>
      <c r="N34" s="74">
        <f t="shared" ref="N34:S34" si="22">4000000/7</f>
        <v>571428.57142857148</v>
      </c>
      <c r="O34" s="74">
        <f t="shared" si="22"/>
        <v>571428.57142857148</v>
      </c>
      <c r="P34" s="74">
        <f t="shared" si="22"/>
        <v>571428.57142857148</v>
      </c>
      <c r="Q34" s="74">
        <f t="shared" si="22"/>
        <v>571428.57142857148</v>
      </c>
      <c r="R34" s="74">
        <f t="shared" si="22"/>
        <v>571428.57142857148</v>
      </c>
      <c r="S34" s="74">
        <f t="shared" si="22"/>
        <v>571428.57142857148</v>
      </c>
      <c r="T34" s="75"/>
      <c r="U34" s="99">
        <f t="shared" si="10"/>
        <v>8000000.0000000028</v>
      </c>
      <c r="V34" s="64">
        <f t="shared" si="11"/>
        <v>0</v>
      </c>
    </row>
    <row r="35" spans="1:22" ht="38.25" x14ac:dyDescent="0.25">
      <c r="A35" s="2" t="s">
        <v>63</v>
      </c>
      <c r="B35" s="3" t="s">
        <v>64</v>
      </c>
      <c r="C35" s="64">
        <v>7200000</v>
      </c>
      <c r="D35" s="92"/>
      <c r="E35" s="93"/>
      <c r="F35" s="93"/>
      <c r="G35" s="94"/>
      <c r="H35" s="65">
        <f t="shared" si="8"/>
        <v>7200000</v>
      </c>
      <c r="I35" s="72"/>
      <c r="J35" s="73"/>
      <c r="K35" s="73"/>
      <c r="L35" s="73"/>
      <c r="M35" s="74"/>
      <c r="N35" s="74"/>
      <c r="O35" s="74">
        <f>7200000/5</f>
        <v>1440000</v>
      </c>
      <c r="P35" s="74">
        <f t="shared" ref="P35:S35" si="23">7200000/5</f>
        <v>1440000</v>
      </c>
      <c r="Q35" s="74">
        <f t="shared" si="23"/>
        <v>1440000</v>
      </c>
      <c r="R35" s="74">
        <f t="shared" si="23"/>
        <v>1440000</v>
      </c>
      <c r="S35" s="74">
        <f t="shared" si="23"/>
        <v>1440000</v>
      </c>
      <c r="T35" s="75"/>
      <c r="U35" s="99">
        <f t="shared" si="10"/>
        <v>7200000</v>
      </c>
      <c r="V35" s="64">
        <f t="shared" si="11"/>
        <v>0</v>
      </c>
    </row>
    <row r="36" spans="1:22" ht="38.25" x14ac:dyDescent="0.25">
      <c r="A36" s="2" t="s">
        <v>65</v>
      </c>
      <c r="B36" s="3" t="s">
        <v>66</v>
      </c>
      <c r="C36" s="64">
        <v>8500000</v>
      </c>
      <c r="D36" s="92"/>
      <c r="E36" s="93"/>
      <c r="F36" s="93"/>
      <c r="G36" s="94"/>
      <c r="H36" s="65">
        <f t="shared" si="8"/>
        <v>8500000</v>
      </c>
      <c r="I36" s="72"/>
      <c r="J36" s="73"/>
      <c r="K36" s="73"/>
      <c r="L36" s="73"/>
      <c r="M36" s="74">
        <f>8500000/7</f>
        <v>1214285.7142857143</v>
      </c>
      <c r="N36" s="74">
        <f t="shared" ref="N36:S36" si="24">8500000/7</f>
        <v>1214285.7142857143</v>
      </c>
      <c r="O36" s="74">
        <f t="shared" si="24"/>
        <v>1214285.7142857143</v>
      </c>
      <c r="P36" s="74">
        <f t="shared" si="24"/>
        <v>1214285.7142857143</v>
      </c>
      <c r="Q36" s="74">
        <f t="shared" si="24"/>
        <v>1214285.7142857143</v>
      </c>
      <c r="R36" s="74">
        <f t="shared" si="24"/>
        <v>1214285.7142857143</v>
      </c>
      <c r="S36" s="74">
        <f t="shared" si="24"/>
        <v>1214285.7142857143</v>
      </c>
      <c r="T36" s="75"/>
      <c r="U36" s="99">
        <f t="shared" si="10"/>
        <v>8500000</v>
      </c>
      <c r="V36" s="64">
        <f t="shared" si="11"/>
        <v>0</v>
      </c>
    </row>
    <row r="37" spans="1:22" ht="38.25" x14ac:dyDescent="0.25">
      <c r="A37" s="2" t="s">
        <v>67</v>
      </c>
      <c r="B37" s="3" t="s">
        <v>68</v>
      </c>
      <c r="C37" s="64">
        <v>4800000</v>
      </c>
      <c r="D37" s="92"/>
      <c r="E37" s="93"/>
      <c r="F37" s="93"/>
      <c r="G37" s="94"/>
      <c r="H37" s="65">
        <f t="shared" si="8"/>
        <v>4800000</v>
      </c>
      <c r="I37" s="72"/>
      <c r="J37" s="73"/>
      <c r="K37" s="73"/>
      <c r="L37" s="73"/>
      <c r="M37" s="74">
        <f>4800000/7</f>
        <v>685714.28571428568</v>
      </c>
      <c r="N37" s="74">
        <f t="shared" ref="N37:S37" si="25">4800000/7</f>
        <v>685714.28571428568</v>
      </c>
      <c r="O37" s="74">
        <f t="shared" si="25"/>
        <v>685714.28571428568</v>
      </c>
      <c r="P37" s="74">
        <f t="shared" si="25"/>
        <v>685714.28571428568</v>
      </c>
      <c r="Q37" s="74">
        <f t="shared" si="25"/>
        <v>685714.28571428568</v>
      </c>
      <c r="R37" s="74">
        <f t="shared" si="25"/>
        <v>685714.28571428568</v>
      </c>
      <c r="S37" s="74">
        <f t="shared" si="25"/>
        <v>685714.28571428568</v>
      </c>
      <c r="T37" s="75"/>
      <c r="U37" s="99">
        <f t="shared" si="10"/>
        <v>4799999.9999999991</v>
      </c>
      <c r="V37" s="64">
        <f t="shared" si="11"/>
        <v>0</v>
      </c>
    </row>
    <row r="38" spans="1:22" ht="38.25" x14ac:dyDescent="0.25">
      <c r="A38" s="2" t="s">
        <v>69</v>
      </c>
      <c r="B38" s="3" t="s">
        <v>70</v>
      </c>
      <c r="C38" s="64">
        <v>6500000</v>
      </c>
      <c r="D38" s="92"/>
      <c r="E38" s="93"/>
      <c r="F38" s="93"/>
      <c r="G38" s="94"/>
      <c r="H38" s="65">
        <f t="shared" si="8"/>
        <v>6500000</v>
      </c>
      <c r="I38" s="72"/>
      <c r="J38" s="73"/>
      <c r="K38" s="73"/>
      <c r="L38" s="63">
        <v>688921</v>
      </c>
      <c r="M38" s="74">
        <f>5811079/8</f>
        <v>726384.875</v>
      </c>
      <c r="N38" s="74">
        <f t="shared" ref="N38:T38" si="26">5811079/8</f>
        <v>726384.875</v>
      </c>
      <c r="O38" s="74">
        <f t="shared" si="26"/>
        <v>726384.875</v>
      </c>
      <c r="P38" s="74">
        <f t="shared" si="26"/>
        <v>726384.875</v>
      </c>
      <c r="Q38" s="74">
        <f t="shared" si="26"/>
        <v>726384.875</v>
      </c>
      <c r="R38" s="74">
        <f t="shared" si="26"/>
        <v>726384.875</v>
      </c>
      <c r="S38" s="74">
        <f t="shared" si="26"/>
        <v>726384.875</v>
      </c>
      <c r="T38" s="74">
        <f t="shared" si="26"/>
        <v>726384.875</v>
      </c>
      <c r="U38" s="99">
        <f t="shared" si="10"/>
        <v>6500000</v>
      </c>
      <c r="V38" s="64">
        <f t="shared" si="11"/>
        <v>0</v>
      </c>
    </row>
    <row r="39" spans="1:22" ht="51" x14ac:dyDescent="0.25">
      <c r="A39" s="2" t="s">
        <v>71</v>
      </c>
      <c r="B39" s="3" t="s">
        <v>72</v>
      </c>
      <c r="C39" s="64">
        <v>1000</v>
      </c>
      <c r="D39" s="92">
        <v>6546317</v>
      </c>
      <c r="E39" s="93"/>
      <c r="F39" s="93"/>
      <c r="G39" s="94"/>
      <c r="H39" s="65">
        <f t="shared" si="8"/>
        <v>6547317</v>
      </c>
      <c r="I39" s="72">
        <v>46945</v>
      </c>
      <c r="J39" s="73">
        <v>1308030</v>
      </c>
      <c r="K39" s="73">
        <v>765517</v>
      </c>
      <c r="L39" s="73"/>
      <c r="M39" s="74">
        <f>4426825/8</f>
        <v>553353.125</v>
      </c>
      <c r="N39" s="74">
        <f t="shared" ref="N39:T39" si="27">4426825/8</f>
        <v>553353.125</v>
      </c>
      <c r="O39" s="74">
        <f t="shared" si="27"/>
        <v>553353.125</v>
      </c>
      <c r="P39" s="74">
        <f t="shared" si="27"/>
        <v>553353.125</v>
      </c>
      <c r="Q39" s="74">
        <f t="shared" si="27"/>
        <v>553353.125</v>
      </c>
      <c r="R39" s="74">
        <f t="shared" si="27"/>
        <v>553353.125</v>
      </c>
      <c r="S39" s="74">
        <f t="shared" si="27"/>
        <v>553353.125</v>
      </c>
      <c r="T39" s="74">
        <f t="shared" si="27"/>
        <v>553353.125</v>
      </c>
      <c r="U39" s="99">
        <f t="shared" si="10"/>
        <v>6547317</v>
      </c>
      <c r="V39" s="64">
        <f t="shared" si="11"/>
        <v>0</v>
      </c>
    </row>
    <row r="40" spans="1:22" ht="38.25" x14ac:dyDescent="0.25">
      <c r="A40" s="2" t="s">
        <v>73</v>
      </c>
      <c r="B40" s="3" t="s">
        <v>74</v>
      </c>
      <c r="C40" s="64">
        <v>1000</v>
      </c>
      <c r="D40" s="92"/>
      <c r="E40" s="93"/>
      <c r="F40" s="93"/>
      <c r="G40" s="94"/>
      <c r="H40" s="65">
        <f t="shared" si="8"/>
        <v>1000</v>
      </c>
      <c r="I40" s="72"/>
      <c r="J40" s="73"/>
      <c r="K40" s="73"/>
      <c r="L40" s="73"/>
      <c r="M40" s="74">
        <f>1000/8</f>
        <v>125</v>
      </c>
      <c r="N40" s="74">
        <f t="shared" ref="N40:T40" si="28">1000/8</f>
        <v>125</v>
      </c>
      <c r="O40" s="74">
        <f t="shared" si="28"/>
        <v>125</v>
      </c>
      <c r="P40" s="74">
        <f t="shared" si="28"/>
        <v>125</v>
      </c>
      <c r="Q40" s="74">
        <f t="shared" si="28"/>
        <v>125</v>
      </c>
      <c r="R40" s="74">
        <f t="shared" si="28"/>
        <v>125</v>
      </c>
      <c r="S40" s="74">
        <f t="shared" si="28"/>
        <v>125</v>
      </c>
      <c r="T40" s="74">
        <f t="shared" si="28"/>
        <v>125</v>
      </c>
      <c r="U40" s="99">
        <f t="shared" si="10"/>
        <v>1000</v>
      </c>
      <c r="V40" s="64">
        <f t="shared" si="11"/>
        <v>0</v>
      </c>
    </row>
    <row r="41" spans="1:22" ht="13.5" thickBot="1" x14ac:dyDescent="0.3">
      <c r="A41" s="6"/>
      <c r="B41" s="7"/>
      <c r="C41" s="76"/>
      <c r="D41" s="100"/>
      <c r="E41" s="79"/>
      <c r="F41" s="79"/>
      <c r="G41" s="101"/>
      <c r="H41" s="102"/>
      <c r="I41" s="81"/>
      <c r="J41" s="82"/>
      <c r="K41" s="82"/>
      <c r="L41" s="82"/>
      <c r="M41" s="83"/>
      <c r="N41" s="83"/>
      <c r="O41" s="83"/>
      <c r="P41" s="83"/>
      <c r="Q41" s="83"/>
      <c r="R41" s="83"/>
      <c r="S41" s="83"/>
      <c r="T41" s="84"/>
      <c r="U41" s="103"/>
      <c r="V41" s="76"/>
    </row>
    <row r="42" spans="1:22" ht="13.5" thickBot="1" x14ac:dyDescent="0.3">
      <c r="A42" s="135" t="s">
        <v>26</v>
      </c>
      <c r="B42" s="136"/>
      <c r="C42" s="85">
        <f t="shared" ref="C42:V42" si="29">SUM(C22:C41)</f>
        <v>112503000</v>
      </c>
      <c r="D42" s="104">
        <f t="shared" si="29"/>
        <v>51561812</v>
      </c>
      <c r="E42" s="105">
        <f t="shared" si="29"/>
        <v>0</v>
      </c>
      <c r="F42" s="105">
        <f t="shared" si="29"/>
        <v>0</v>
      </c>
      <c r="G42" s="106">
        <f t="shared" si="29"/>
        <v>0</v>
      </c>
      <c r="H42" s="85">
        <f t="shared" si="29"/>
        <v>164064812</v>
      </c>
      <c r="I42" s="86">
        <f t="shared" si="29"/>
        <v>193196</v>
      </c>
      <c r="J42" s="87">
        <f t="shared" si="29"/>
        <v>1422627</v>
      </c>
      <c r="K42" s="87">
        <f t="shared" si="29"/>
        <v>2865774</v>
      </c>
      <c r="L42" s="87">
        <f t="shared" si="29"/>
        <v>2771864</v>
      </c>
      <c r="M42" s="87">
        <f t="shared" si="29"/>
        <v>18180714.589285716</v>
      </c>
      <c r="N42" s="87">
        <f t="shared" si="29"/>
        <v>18180714.589285716</v>
      </c>
      <c r="O42" s="87">
        <f t="shared" si="29"/>
        <v>23780714.589285713</v>
      </c>
      <c r="P42" s="87">
        <f t="shared" si="29"/>
        <v>23780714.589285713</v>
      </c>
      <c r="Q42" s="87">
        <f t="shared" si="29"/>
        <v>23780714.589285713</v>
      </c>
      <c r="R42" s="87">
        <f t="shared" si="29"/>
        <v>23780714.589285713</v>
      </c>
      <c r="S42" s="87">
        <f t="shared" si="29"/>
        <v>23780714.589285713</v>
      </c>
      <c r="T42" s="107">
        <f t="shared" si="29"/>
        <v>1546348.875</v>
      </c>
      <c r="U42" s="108">
        <f t="shared" si="29"/>
        <v>164064812</v>
      </c>
      <c r="V42" s="85">
        <f t="shared" si="29"/>
        <v>0</v>
      </c>
    </row>
  </sheetData>
  <mergeCells count="67">
    <mergeCell ref="A1:V1"/>
    <mergeCell ref="A2:V2"/>
    <mergeCell ref="A3:V3"/>
    <mergeCell ref="A5:V5"/>
    <mergeCell ref="A6:A7"/>
    <mergeCell ref="B6:B7"/>
    <mergeCell ref="C6:C7"/>
    <mergeCell ref="D6:G6"/>
    <mergeCell ref="H6:H7"/>
    <mergeCell ref="I6:I7"/>
    <mergeCell ref="V6:V7"/>
    <mergeCell ref="S6:S7"/>
    <mergeCell ref="T6:T7"/>
    <mergeCell ref="U6:U7"/>
    <mergeCell ref="D9:E9"/>
    <mergeCell ref="F9:G9"/>
    <mergeCell ref="P6:P7"/>
    <mergeCell ref="Q6:Q7"/>
    <mergeCell ref="R6:R7"/>
    <mergeCell ref="J6:J7"/>
    <mergeCell ref="K6:K7"/>
    <mergeCell ref="L6:L7"/>
    <mergeCell ref="M6:M7"/>
    <mergeCell ref="N6:N7"/>
    <mergeCell ref="O6:O7"/>
    <mergeCell ref="D7:E7"/>
    <mergeCell ref="F7:G7"/>
    <mergeCell ref="D8:E8"/>
    <mergeCell ref="F8:G8"/>
    <mergeCell ref="D10:E10"/>
    <mergeCell ref="F10:G10"/>
    <mergeCell ref="D11:E11"/>
    <mergeCell ref="F11:G11"/>
    <mergeCell ref="D12:E12"/>
    <mergeCell ref="F12:G12"/>
    <mergeCell ref="A17:B17"/>
    <mergeCell ref="D17:E17"/>
    <mergeCell ref="F17:G17"/>
    <mergeCell ref="A19:V19"/>
    <mergeCell ref="D13:E13"/>
    <mergeCell ref="F13:G13"/>
    <mergeCell ref="D14:E14"/>
    <mergeCell ref="F14:G14"/>
    <mergeCell ref="D15:E15"/>
    <mergeCell ref="F15:G15"/>
    <mergeCell ref="C20:C21"/>
    <mergeCell ref="D20:G20"/>
    <mergeCell ref="H20:H21"/>
    <mergeCell ref="I20:I21"/>
    <mergeCell ref="D16:E16"/>
    <mergeCell ref="F16:G16"/>
    <mergeCell ref="V20:V21"/>
    <mergeCell ref="A42:B42"/>
    <mergeCell ref="P20:P21"/>
    <mergeCell ref="Q20:Q21"/>
    <mergeCell ref="R20:R21"/>
    <mergeCell ref="S20:S21"/>
    <mergeCell ref="T20:T21"/>
    <mergeCell ref="U20:U21"/>
    <mergeCell ref="J20:J21"/>
    <mergeCell ref="K20:K21"/>
    <mergeCell ref="L20:L21"/>
    <mergeCell ref="M20:M21"/>
    <mergeCell ref="N20:N21"/>
    <mergeCell ref="O20:O21"/>
    <mergeCell ref="A20:A21"/>
    <mergeCell ref="B20:B21"/>
  </mergeCells>
  <printOptions horizontalCentered="1" verticalCentered="1"/>
  <pageMargins left="0.39370078740157483" right="0.39370078740157483" top="0.39370078740157483" bottom="0.59055118110236227" header="0.39370078740157483" footer="0.39370078740157483"/>
  <pageSetup paperSize="258" scale="75" orientation="landscape" r:id="rId1"/>
  <headerFooter>
    <oddFooter>&amp;L&amp;F&amp;C&amp;A&amp;R&amp;P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topLeftCell="A2" zoomScaleNormal="100" workbookViewId="0">
      <selection activeCell="N9" sqref="N9:T9"/>
    </sheetView>
  </sheetViews>
  <sheetFormatPr baseColWidth="10" defaultColWidth="11.42578125" defaultRowHeight="12.75" x14ac:dyDescent="0.25"/>
  <cols>
    <col min="1" max="1" width="6.85546875" style="1" customWidth="1"/>
    <col min="2" max="2" width="12.7109375" style="1" customWidth="1"/>
    <col min="3" max="3" width="11.7109375" style="109" customWidth="1"/>
    <col min="4" max="4" width="10.7109375" style="109" customWidth="1"/>
    <col min="5" max="7" width="3.7109375" style="109" customWidth="1"/>
    <col min="8" max="8" width="11.7109375" style="109" customWidth="1"/>
    <col min="9" max="10" width="10.7109375" style="109" customWidth="1"/>
    <col min="11" max="12" width="9.7109375" style="109" customWidth="1"/>
    <col min="13" max="19" width="10.7109375" style="109" customWidth="1"/>
    <col min="20" max="20" width="8.7109375" style="109" customWidth="1"/>
    <col min="21" max="21" width="11.7109375" style="109" customWidth="1"/>
    <col min="22" max="22" width="3.7109375" style="109" customWidth="1"/>
    <col min="23" max="23" width="11.5703125" style="1" bestFit="1" customWidth="1"/>
    <col min="24" max="16384" width="11.42578125" style="1"/>
  </cols>
  <sheetData>
    <row r="1" spans="1:22" ht="13.15" x14ac:dyDescent="0.3">
      <c r="A1" s="124" t="s">
        <v>27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</row>
    <row r="2" spans="1:22" ht="13.15" x14ac:dyDescent="0.3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22" ht="13.15" x14ac:dyDescent="0.3">
      <c r="A3" s="124" t="s">
        <v>28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</row>
    <row r="5" spans="1:22" ht="13.9" thickBot="1" x14ac:dyDescent="0.35">
      <c r="A5" s="124" t="s">
        <v>1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</row>
    <row r="6" spans="1:22" x14ac:dyDescent="0.25">
      <c r="A6" s="125" t="s">
        <v>2</v>
      </c>
      <c r="B6" s="127" t="s">
        <v>3</v>
      </c>
      <c r="C6" s="154" t="s">
        <v>4</v>
      </c>
      <c r="D6" s="162" t="s">
        <v>5</v>
      </c>
      <c r="E6" s="163"/>
      <c r="F6" s="163"/>
      <c r="G6" s="164"/>
      <c r="H6" s="154" t="s">
        <v>8</v>
      </c>
      <c r="I6" s="165" t="s">
        <v>9</v>
      </c>
      <c r="J6" s="156" t="s">
        <v>10</v>
      </c>
      <c r="K6" s="156" t="s">
        <v>11</v>
      </c>
      <c r="L6" s="156" t="s">
        <v>12</v>
      </c>
      <c r="M6" s="156" t="s">
        <v>13</v>
      </c>
      <c r="N6" s="156" t="s">
        <v>14</v>
      </c>
      <c r="O6" s="156" t="s">
        <v>15</v>
      </c>
      <c r="P6" s="156" t="s">
        <v>16</v>
      </c>
      <c r="Q6" s="156" t="s">
        <v>17</v>
      </c>
      <c r="R6" s="156" t="s">
        <v>18</v>
      </c>
      <c r="S6" s="156" t="s">
        <v>19</v>
      </c>
      <c r="T6" s="181" t="s">
        <v>20</v>
      </c>
      <c r="U6" s="154" t="s">
        <v>21</v>
      </c>
      <c r="V6" s="154" t="s">
        <v>22</v>
      </c>
    </row>
    <row r="7" spans="1:22" ht="13.5" thickBot="1" x14ac:dyDescent="0.3">
      <c r="A7" s="126"/>
      <c r="B7" s="128"/>
      <c r="C7" s="155"/>
      <c r="D7" s="175" t="s">
        <v>6</v>
      </c>
      <c r="E7" s="176"/>
      <c r="F7" s="176" t="s">
        <v>7</v>
      </c>
      <c r="G7" s="177"/>
      <c r="H7" s="155"/>
      <c r="I7" s="166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82"/>
      <c r="U7" s="155"/>
      <c r="V7" s="155"/>
    </row>
    <row r="8" spans="1:22" ht="118.9" x14ac:dyDescent="0.3">
      <c r="A8" s="2" t="s">
        <v>29</v>
      </c>
      <c r="B8" s="3" t="s">
        <v>30</v>
      </c>
      <c r="C8" s="64">
        <v>3000000</v>
      </c>
      <c r="D8" s="178"/>
      <c r="E8" s="179"/>
      <c r="F8" s="179"/>
      <c r="G8" s="180"/>
      <c r="H8" s="65">
        <f>C8+D8-F8</f>
        <v>3000000</v>
      </c>
      <c r="I8" s="66"/>
      <c r="J8" s="67">
        <v>0</v>
      </c>
      <c r="K8" s="67">
        <v>0</v>
      </c>
      <c r="L8" s="67"/>
      <c r="M8" s="63">
        <v>810000</v>
      </c>
      <c r="N8" s="68">
        <f>2190000/6</f>
        <v>365000</v>
      </c>
      <c r="O8" s="68">
        <f t="shared" ref="O8:S8" si="0">2190000/6</f>
        <v>365000</v>
      </c>
      <c r="P8" s="68">
        <f t="shared" si="0"/>
        <v>365000</v>
      </c>
      <c r="Q8" s="68">
        <f t="shared" si="0"/>
        <v>365000</v>
      </c>
      <c r="R8" s="68">
        <f t="shared" si="0"/>
        <v>365000</v>
      </c>
      <c r="S8" s="68">
        <f t="shared" si="0"/>
        <v>365000</v>
      </c>
      <c r="T8" s="68"/>
      <c r="U8" s="64">
        <f>SUM(I8:T8)</f>
        <v>3000000</v>
      </c>
      <c r="V8" s="64">
        <f>H8-U8</f>
        <v>0</v>
      </c>
    </row>
    <row r="9" spans="1:22" ht="52.9" x14ac:dyDescent="0.3">
      <c r="A9" s="4" t="s">
        <v>31</v>
      </c>
      <c r="B9" s="5" t="s">
        <v>32</v>
      </c>
      <c r="C9" s="70">
        <v>3300000</v>
      </c>
      <c r="D9" s="172"/>
      <c r="E9" s="173"/>
      <c r="F9" s="173"/>
      <c r="G9" s="174"/>
      <c r="H9" s="71">
        <f t="shared" ref="H9:H16" si="1">C9+D9-F9</f>
        <v>3300000</v>
      </c>
      <c r="I9" s="72">
        <v>407000</v>
      </c>
      <c r="J9" s="73">
        <v>204500</v>
      </c>
      <c r="K9" s="73">
        <v>139000</v>
      </c>
      <c r="L9" s="73">
        <v>42000</v>
      </c>
      <c r="M9" s="63">
        <v>252000</v>
      </c>
      <c r="N9" s="74">
        <f>2255500/7</f>
        <v>322214.28571428574</v>
      </c>
      <c r="O9" s="74">
        <f t="shared" ref="O9:T9" si="2">2255500/7</f>
        <v>322214.28571428574</v>
      </c>
      <c r="P9" s="74">
        <f t="shared" si="2"/>
        <v>322214.28571428574</v>
      </c>
      <c r="Q9" s="74">
        <f t="shared" si="2"/>
        <v>322214.28571428574</v>
      </c>
      <c r="R9" s="74">
        <f t="shared" si="2"/>
        <v>322214.28571428574</v>
      </c>
      <c r="S9" s="74">
        <f t="shared" si="2"/>
        <v>322214.28571428574</v>
      </c>
      <c r="T9" s="74">
        <f t="shared" si="2"/>
        <v>322214.28571428574</v>
      </c>
      <c r="U9" s="70">
        <f t="shared" ref="U9:U16" si="3">SUM(I9:T9)</f>
        <v>3300000.0000000005</v>
      </c>
      <c r="V9" s="70">
        <f t="shared" ref="V9:V16" si="4">H9-U9</f>
        <v>0</v>
      </c>
    </row>
    <row r="10" spans="1:22" ht="39.6" x14ac:dyDescent="0.3">
      <c r="A10" s="4" t="s">
        <v>33</v>
      </c>
      <c r="B10" s="5" t="s">
        <v>34</v>
      </c>
      <c r="C10" s="70">
        <v>78000000</v>
      </c>
      <c r="D10" s="172"/>
      <c r="E10" s="173"/>
      <c r="F10" s="173"/>
      <c r="G10" s="174"/>
      <c r="H10" s="71">
        <f t="shared" si="1"/>
        <v>78000000</v>
      </c>
      <c r="I10" s="72"/>
      <c r="J10" s="73">
        <v>62478528</v>
      </c>
      <c r="K10" s="73"/>
      <c r="L10" s="73"/>
      <c r="M10" s="73"/>
      <c r="N10" s="74">
        <v>15521472</v>
      </c>
      <c r="O10" s="74"/>
      <c r="P10" s="74"/>
      <c r="Q10" s="74"/>
      <c r="R10" s="74"/>
      <c r="S10" s="74"/>
      <c r="T10" s="75"/>
      <c r="U10" s="70">
        <f t="shared" si="3"/>
        <v>78000000</v>
      </c>
      <c r="V10" s="70">
        <f t="shared" si="4"/>
        <v>0</v>
      </c>
    </row>
    <row r="11" spans="1:22" ht="39.6" x14ac:dyDescent="0.3">
      <c r="A11" s="4" t="s">
        <v>35</v>
      </c>
      <c r="B11" s="5" t="s">
        <v>36</v>
      </c>
      <c r="C11" s="70">
        <v>28000000</v>
      </c>
      <c r="D11" s="172"/>
      <c r="E11" s="173"/>
      <c r="F11" s="173"/>
      <c r="G11" s="174"/>
      <c r="H11" s="71">
        <f t="shared" si="1"/>
        <v>28000000</v>
      </c>
      <c r="I11" s="72"/>
      <c r="J11" s="73"/>
      <c r="K11" s="73"/>
      <c r="L11" s="73"/>
      <c r="M11" s="73"/>
      <c r="N11" s="74"/>
      <c r="O11" s="74">
        <v>28000000</v>
      </c>
      <c r="P11" s="74"/>
      <c r="Q11" s="74"/>
      <c r="R11" s="74"/>
      <c r="S11" s="74"/>
      <c r="T11" s="75"/>
      <c r="U11" s="70">
        <f t="shared" si="3"/>
        <v>28000000</v>
      </c>
      <c r="V11" s="70">
        <f t="shared" si="4"/>
        <v>0</v>
      </c>
    </row>
    <row r="12" spans="1:22" ht="26.45" x14ac:dyDescent="0.3">
      <c r="A12" s="4" t="s">
        <v>37</v>
      </c>
      <c r="B12" s="5" t="s">
        <v>38</v>
      </c>
      <c r="C12" s="70">
        <v>200000</v>
      </c>
      <c r="D12" s="172"/>
      <c r="E12" s="173"/>
      <c r="F12" s="173"/>
      <c r="G12" s="174"/>
      <c r="H12" s="71">
        <f t="shared" si="1"/>
        <v>200000</v>
      </c>
      <c r="I12" s="72">
        <v>1100</v>
      </c>
      <c r="J12" s="73">
        <v>1787</v>
      </c>
      <c r="K12" s="73">
        <v>6206</v>
      </c>
      <c r="L12" s="63">
        <v>5859</v>
      </c>
      <c r="M12" s="63">
        <v>5872</v>
      </c>
      <c r="N12" s="74">
        <f>179176/7</f>
        <v>25596.571428571428</v>
      </c>
      <c r="O12" s="74">
        <f t="shared" ref="O12:T12" si="5">179176/7</f>
        <v>25596.571428571428</v>
      </c>
      <c r="P12" s="74">
        <f t="shared" si="5"/>
        <v>25596.571428571428</v>
      </c>
      <c r="Q12" s="74">
        <f t="shared" si="5"/>
        <v>25596.571428571428</v>
      </c>
      <c r="R12" s="74">
        <f t="shared" si="5"/>
        <v>25596.571428571428</v>
      </c>
      <c r="S12" s="74">
        <f t="shared" si="5"/>
        <v>25596.571428571428</v>
      </c>
      <c r="T12" s="74">
        <f t="shared" si="5"/>
        <v>25596.571428571428</v>
      </c>
      <c r="U12" s="70">
        <f t="shared" si="3"/>
        <v>199999.99999999997</v>
      </c>
      <c r="V12" s="70">
        <f t="shared" si="4"/>
        <v>0</v>
      </c>
    </row>
    <row r="13" spans="1:22" ht="25.5" x14ac:dyDescent="0.25">
      <c r="A13" s="6" t="s">
        <v>39</v>
      </c>
      <c r="B13" s="7" t="s">
        <v>40</v>
      </c>
      <c r="C13" s="76">
        <v>1000</v>
      </c>
      <c r="D13" s="172">
        <v>1075935</v>
      </c>
      <c r="E13" s="173"/>
      <c r="F13" s="173"/>
      <c r="G13" s="174"/>
      <c r="H13" s="71">
        <f t="shared" si="1"/>
        <v>1076935</v>
      </c>
      <c r="I13" s="77">
        <v>1075935</v>
      </c>
      <c r="J13" s="78"/>
      <c r="K13" s="78"/>
      <c r="L13" s="78"/>
      <c r="M13" s="78"/>
      <c r="N13" s="79">
        <v>1000</v>
      </c>
      <c r="O13" s="79"/>
      <c r="P13" s="79"/>
      <c r="Q13" s="79"/>
      <c r="R13" s="79"/>
      <c r="S13" s="79"/>
      <c r="T13" s="80"/>
      <c r="U13" s="70">
        <f t="shared" si="3"/>
        <v>1076935</v>
      </c>
      <c r="V13" s="70">
        <f t="shared" si="4"/>
        <v>0</v>
      </c>
    </row>
    <row r="14" spans="1:22" ht="25.5" x14ac:dyDescent="0.25">
      <c r="A14" s="6" t="s">
        <v>41</v>
      </c>
      <c r="B14" s="7" t="s">
        <v>42</v>
      </c>
      <c r="C14" s="76">
        <v>1000</v>
      </c>
      <c r="D14" s="172">
        <v>30546317</v>
      </c>
      <c r="E14" s="173"/>
      <c r="F14" s="173"/>
      <c r="G14" s="174"/>
      <c r="H14" s="71">
        <f t="shared" si="1"/>
        <v>30547317</v>
      </c>
      <c r="I14" s="77">
        <v>30546317</v>
      </c>
      <c r="J14" s="78"/>
      <c r="K14" s="78"/>
      <c r="L14" s="78"/>
      <c r="M14" s="78"/>
      <c r="N14" s="79">
        <v>1000</v>
      </c>
      <c r="O14" s="79"/>
      <c r="P14" s="79"/>
      <c r="Q14" s="79"/>
      <c r="R14" s="79"/>
      <c r="S14" s="79"/>
      <c r="T14" s="80"/>
      <c r="U14" s="70">
        <f t="shared" si="3"/>
        <v>30547317</v>
      </c>
      <c r="V14" s="70">
        <f t="shared" si="4"/>
        <v>0</v>
      </c>
    </row>
    <row r="15" spans="1:22" ht="25.5" x14ac:dyDescent="0.25">
      <c r="A15" s="6" t="s">
        <v>43</v>
      </c>
      <c r="B15" s="7" t="s">
        <v>44</v>
      </c>
      <c r="C15" s="76">
        <v>1000</v>
      </c>
      <c r="D15" s="172">
        <v>19939560</v>
      </c>
      <c r="E15" s="173"/>
      <c r="F15" s="173"/>
      <c r="G15" s="174"/>
      <c r="H15" s="71">
        <f t="shared" si="1"/>
        <v>19940560</v>
      </c>
      <c r="I15" s="77">
        <v>19939560</v>
      </c>
      <c r="J15" s="78"/>
      <c r="K15" s="78"/>
      <c r="L15" s="78"/>
      <c r="M15" s="78"/>
      <c r="N15" s="79">
        <v>1000</v>
      </c>
      <c r="O15" s="79"/>
      <c r="P15" s="79"/>
      <c r="Q15" s="79"/>
      <c r="R15" s="79"/>
      <c r="S15" s="79"/>
      <c r="T15" s="80"/>
      <c r="U15" s="70">
        <f t="shared" si="3"/>
        <v>19940560</v>
      </c>
      <c r="V15" s="70">
        <f t="shared" si="4"/>
        <v>0</v>
      </c>
    </row>
    <row r="16" spans="1:22" ht="13.5" thickBot="1" x14ac:dyDescent="0.3">
      <c r="A16" s="6"/>
      <c r="B16" s="7"/>
      <c r="C16" s="76"/>
      <c r="D16" s="167"/>
      <c r="E16" s="168"/>
      <c r="F16" s="168"/>
      <c r="G16" s="169"/>
      <c r="H16" s="71">
        <f t="shared" si="1"/>
        <v>0</v>
      </c>
      <c r="I16" s="81"/>
      <c r="J16" s="82"/>
      <c r="K16" s="82"/>
      <c r="L16" s="82"/>
      <c r="M16" s="82"/>
      <c r="N16" s="83"/>
      <c r="O16" s="83"/>
      <c r="P16" s="83"/>
      <c r="Q16" s="83"/>
      <c r="R16" s="83"/>
      <c r="S16" s="83"/>
      <c r="T16" s="84"/>
      <c r="U16" s="70">
        <f t="shared" si="3"/>
        <v>0</v>
      </c>
      <c r="V16" s="70">
        <f t="shared" si="4"/>
        <v>0</v>
      </c>
    </row>
    <row r="17" spans="1:22" ht="13.5" thickBot="1" x14ac:dyDescent="0.3">
      <c r="A17" s="135" t="s">
        <v>26</v>
      </c>
      <c r="B17" s="136"/>
      <c r="C17" s="85">
        <f>SUM(C8:C16)</f>
        <v>112503000</v>
      </c>
      <c r="D17" s="170">
        <f>SUM(D8:E16)</f>
        <v>51561812</v>
      </c>
      <c r="E17" s="171"/>
      <c r="F17" s="170">
        <f>SUM(F8:G16)</f>
        <v>0</v>
      </c>
      <c r="G17" s="171"/>
      <c r="H17" s="85">
        <f t="shared" ref="H17:V17" si="6">SUM(H8:H16)</f>
        <v>164064812</v>
      </c>
      <c r="I17" s="86">
        <f t="shared" si="6"/>
        <v>51969912</v>
      </c>
      <c r="J17" s="87">
        <f t="shared" si="6"/>
        <v>62684815</v>
      </c>
      <c r="K17" s="87">
        <f t="shared" si="6"/>
        <v>145206</v>
      </c>
      <c r="L17" s="87">
        <f t="shared" si="6"/>
        <v>47859</v>
      </c>
      <c r="M17" s="87">
        <f t="shared" si="6"/>
        <v>1067872</v>
      </c>
      <c r="N17" s="87">
        <f t="shared" si="6"/>
        <v>16237282.857142856</v>
      </c>
      <c r="O17" s="87">
        <f t="shared" si="6"/>
        <v>28712810.857142858</v>
      </c>
      <c r="P17" s="87">
        <f t="shared" si="6"/>
        <v>712810.85714285716</v>
      </c>
      <c r="Q17" s="87">
        <f t="shared" si="6"/>
        <v>712810.85714285716</v>
      </c>
      <c r="R17" s="87">
        <f t="shared" si="6"/>
        <v>712810.85714285716</v>
      </c>
      <c r="S17" s="87">
        <f t="shared" si="6"/>
        <v>712810.85714285716</v>
      </c>
      <c r="T17" s="88">
        <f t="shared" si="6"/>
        <v>347810.85714285716</v>
      </c>
      <c r="U17" s="85">
        <f t="shared" si="6"/>
        <v>164064812</v>
      </c>
      <c r="V17" s="85">
        <f t="shared" si="6"/>
        <v>0</v>
      </c>
    </row>
    <row r="19" spans="1:22" ht="13.5" thickBot="1" x14ac:dyDescent="0.3">
      <c r="A19" s="124" t="s">
        <v>23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</row>
    <row r="20" spans="1:22" x14ac:dyDescent="0.25">
      <c r="A20" s="133" t="s">
        <v>2</v>
      </c>
      <c r="B20" s="127" t="s">
        <v>3</v>
      </c>
      <c r="C20" s="154" t="s">
        <v>4</v>
      </c>
      <c r="D20" s="162" t="s">
        <v>5</v>
      </c>
      <c r="E20" s="163"/>
      <c r="F20" s="163"/>
      <c r="G20" s="164"/>
      <c r="H20" s="154" t="s">
        <v>8</v>
      </c>
      <c r="I20" s="165" t="s">
        <v>9</v>
      </c>
      <c r="J20" s="156" t="s">
        <v>10</v>
      </c>
      <c r="K20" s="156" t="s">
        <v>11</v>
      </c>
      <c r="L20" s="156" t="s">
        <v>12</v>
      </c>
      <c r="M20" s="156" t="s">
        <v>13</v>
      </c>
      <c r="N20" s="156" t="s">
        <v>14</v>
      </c>
      <c r="O20" s="156" t="s">
        <v>15</v>
      </c>
      <c r="P20" s="156" t="s">
        <v>16</v>
      </c>
      <c r="Q20" s="156" t="s">
        <v>17</v>
      </c>
      <c r="R20" s="156" t="s">
        <v>18</v>
      </c>
      <c r="S20" s="156" t="s">
        <v>19</v>
      </c>
      <c r="T20" s="158" t="s">
        <v>20</v>
      </c>
      <c r="U20" s="160" t="s">
        <v>21</v>
      </c>
      <c r="V20" s="154" t="s">
        <v>22</v>
      </c>
    </row>
    <row r="21" spans="1:22" ht="25.5" customHeight="1" thickBot="1" x14ac:dyDescent="0.3">
      <c r="A21" s="149"/>
      <c r="B21" s="128"/>
      <c r="C21" s="155"/>
      <c r="D21" s="89" t="s">
        <v>6</v>
      </c>
      <c r="E21" s="90" t="s">
        <v>7</v>
      </c>
      <c r="F21" s="90" t="s">
        <v>24</v>
      </c>
      <c r="G21" s="91" t="s">
        <v>25</v>
      </c>
      <c r="H21" s="155"/>
      <c r="I21" s="166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9"/>
      <c r="U21" s="161"/>
      <c r="V21" s="155"/>
    </row>
    <row r="22" spans="1:22" ht="51" x14ac:dyDescent="0.25">
      <c r="A22" s="2" t="s">
        <v>75</v>
      </c>
      <c r="B22" s="3" t="s">
        <v>76</v>
      </c>
      <c r="C22" s="64">
        <v>0</v>
      </c>
      <c r="D22" s="92">
        <v>19939560</v>
      </c>
      <c r="E22" s="93"/>
      <c r="F22" s="93"/>
      <c r="G22" s="94"/>
      <c r="H22" s="65">
        <f>C22+D22-E22+F22-G22</f>
        <v>19939560</v>
      </c>
      <c r="I22" s="66"/>
      <c r="J22" s="67"/>
      <c r="K22" s="67"/>
      <c r="L22" s="67"/>
      <c r="M22" s="63">
        <v>18914500</v>
      </c>
      <c r="N22" s="68">
        <f>1025060/6</f>
        <v>170843.33333333334</v>
      </c>
      <c r="O22" s="68">
        <f t="shared" ref="O22:S22" si="7">1025060/6</f>
        <v>170843.33333333334</v>
      </c>
      <c r="P22" s="68">
        <f t="shared" si="7"/>
        <v>170843.33333333334</v>
      </c>
      <c r="Q22" s="68">
        <f t="shared" si="7"/>
        <v>170843.33333333334</v>
      </c>
      <c r="R22" s="68">
        <f t="shared" si="7"/>
        <v>170843.33333333334</v>
      </c>
      <c r="S22" s="68">
        <f t="shared" si="7"/>
        <v>170843.33333333334</v>
      </c>
      <c r="T22" s="69"/>
      <c r="U22" s="95">
        <f>SUM(I22:T22)</f>
        <v>19939559.999999993</v>
      </c>
      <c r="V22" s="64">
        <f>H22-U22</f>
        <v>0</v>
      </c>
    </row>
    <row r="23" spans="1:22" ht="51" x14ac:dyDescent="0.25">
      <c r="A23" s="2" t="s">
        <v>45</v>
      </c>
      <c r="B23" s="3" t="s">
        <v>46</v>
      </c>
      <c r="C23" s="64">
        <v>18500000</v>
      </c>
      <c r="D23" s="92"/>
      <c r="E23" s="93"/>
      <c r="F23" s="93"/>
      <c r="G23" s="94"/>
      <c r="H23" s="65">
        <f t="shared" ref="H23:H40" si="8">C23+D23-E23+F23-G23</f>
        <v>18500000</v>
      </c>
      <c r="I23" s="96"/>
      <c r="J23" s="97"/>
      <c r="K23" s="97"/>
      <c r="L23" s="97"/>
      <c r="M23" s="97"/>
      <c r="N23" s="93"/>
      <c r="O23" s="93">
        <f>18500000/5</f>
        <v>3700000</v>
      </c>
      <c r="P23" s="93">
        <f t="shared" ref="P23:S23" si="9">18500000/5</f>
        <v>3700000</v>
      </c>
      <c r="Q23" s="93">
        <f t="shared" si="9"/>
        <v>3700000</v>
      </c>
      <c r="R23" s="93">
        <f t="shared" si="9"/>
        <v>3700000</v>
      </c>
      <c r="S23" s="93">
        <f t="shared" si="9"/>
        <v>3700000</v>
      </c>
      <c r="T23" s="98"/>
      <c r="U23" s="99">
        <f t="shared" ref="U23:U40" si="10">SUM(I23:T23)</f>
        <v>18500000</v>
      </c>
      <c r="V23" s="64">
        <f t="shared" ref="V23:V40" si="11">H23-U23</f>
        <v>0</v>
      </c>
    </row>
    <row r="24" spans="1:22" ht="51" x14ac:dyDescent="0.25">
      <c r="A24" s="2" t="s">
        <v>77</v>
      </c>
      <c r="B24" s="3" t="s">
        <v>78</v>
      </c>
      <c r="C24" s="64">
        <v>0</v>
      </c>
      <c r="D24" s="92">
        <v>16000000</v>
      </c>
      <c r="E24" s="93"/>
      <c r="F24" s="93"/>
      <c r="G24" s="94"/>
      <c r="H24" s="65">
        <f t="shared" si="8"/>
        <v>16000000</v>
      </c>
      <c r="I24" s="96"/>
      <c r="J24" s="97"/>
      <c r="K24" s="97"/>
      <c r="L24" s="97"/>
      <c r="M24" s="97"/>
      <c r="N24" s="93">
        <f>16000000/6</f>
        <v>2666666.6666666665</v>
      </c>
      <c r="O24" s="93">
        <f t="shared" ref="O24:S24" si="12">16000000/6</f>
        <v>2666666.6666666665</v>
      </c>
      <c r="P24" s="93">
        <f t="shared" si="12"/>
        <v>2666666.6666666665</v>
      </c>
      <c r="Q24" s="93">
        <f t="shared" si="12"/>
        <v>2666666.6666666665</v>
      </c>
      <c r="R24" s="93">
        <f t="shared" si="12"/>
        <v>2666666.6666666665</v>
      </c>
      <c r="S24" s="93">
        <f t="shared" si="12"/>
        <v>2666666.6666666665</v>
      </c>
      <c r="T24" s="98"/>
      <c r="U24" s="99">
        <f t="shared" si="10"/>
        <v>15999999.999999998</v>
      </c>
      <c r="V24" s="64">
        <f t="shared" si="11"/>
        <v>0</v>
      </c>
    </row>
    <row r="25" spans="1:22" ht="38.25" x14ac:dyDescent="0.25">
      <c r="A25" s="2" t="s">
        <v>47</v>
      </c>
      <c r="B25" s="3" t="s">
        <v>48</v>
      </c>
      <c r="C25" s="64">
        <v>14000000</v>
      </c>
      <c r="D25" s="92"/>
      <c r="E25" s="93"/>
      <c r="F25" s="93"/>
      <c r="G25" s="94"/>
      <c r="H25" s="65">
        <f t="shared" si="8"/>
        <v>14000000</v>
      </c>
      <c r="I25" s="72"/>
      <c r="J25" s="73"/>
      <c r="K25" s="73"/>
      <c r="L25" s="73"/>
      <c r="M25" s="73"/>
      <c r="N25" s="74">
        <f>14000000/6</f>
        <v>2333333.3333333335</v>
      </c>
      <c r="O25" s="74">
        <f t="shared" ref="O25:S25" si="13">14000000/6</f>
        <v>2333333.3333333335</v>
      </c>
      <c r="P25" s="74">
        <f t="shared" si="13"/>
        <v>2333333.3333333335</v>
      </c>
      <c r="Q25" s="74">
        <f t="shared" si="13"/>
        <v>2333333.3333333335</v>
      </c>
      <c r="R25" s="74">
        <f t="shared" si="13"/>
        <v>2333333.3333333335</v>
      </c>
      <c r="S25" s="74">
        <f t="shared" si="13"/>
        <v>2333333.3333333335</v>
      </c>
      <c r="T25" s="75"/>
      <c r="U25" s="99">
        <f t="shared" si="10"/>
        <v>14000000.000000002</v>
      </c>
      <c r="V25" s="64">
        <f t="shared" si="11"/>
        <v>0</v>
      </c>
    </row>
    <row r="26" spans="1:22" ht="51" x14ac:dyDescent="0.25">
      <c r="A26" s="2" t="s">
        <v>49</v>
      </c>
      <c r="B26" s="3" t="s">
        <v>50</v>
      </c>
      <c r="C26" s="64">
        <v>1000</v>
      </c>
      <c r="D26" s="92"/>
      <c r="E26" s="93"/>
      <c r="F26" s="93"/>
      <c r="G26" s="94"/>
      <c r="H26" s="65">
        <f t="shared" si="8"/>
        <v>1000</v>
      </c>
      <c r="I26" s="72"/>
      <c r="J26" s="73"/>
      <c r="K26" s="73"/>
      <c r="L26" s="73"/>
      <c r="M26" s="73"/>
      <c r="N26" s="74">
        <f>1000/6</f>
        <v>166.66666666666666</v>
      </c>
      <c r="O26" s="74">
        <f t="shared" ref="O26:S26" si="14">1000/6</f>
        <v>166.66666666666666</v>
      </c>
      <c r="P26" s="74">
        <f t="shared" si="14"/>
        <v>166.66666666666666</v>
      </c>
      <c r="Q26" s="74">
        <f t="shared" si="14"/>
        <v>166.66666666666666</v>
      </c>
      <c r="R26" s="74">
        <f t="shared" si="14"/>
        <v>166.66666666666666</v>
      </c>
      <c r="S26" s="74">
        <f t="shared" si="14"/>
        <v>166.66666666666666</v>
      </c>
      <c r="T26" s="75"/>
      <c r="U26" s="99">
        <f t="shared" si="10"/>
        <v>999.99999999999989</v>
      </c>
      <c r="V26" s="64">
        <f t="shared" si="11"/>
        <v>0</v>
      </c>
    </row>
    <row r="27" spans="1:22" ht="38.25" x14ac:dyDescent="0.25">
      <c r="A27" s="2" t="s">
        <v>51</v>
      </c>
      <c r="B27" s="3" t="s">
        <v>52</v>
      </c>
      <c r="C27" s="64">
        <v>20000000</v>
      </c>
      <c r="D27" s="92"/>
      <c r="E27" s="93"/>
      <c r="F27" s="93"/>
      <c r="G27" s="94"/>
      <c r="H27" s="65">
        <f t="shared" si="8"/>
        <v>20000000</v>
      </c>
      <c r="I27" s="72"/>
      <c r="J27" s="73"/>
      <c r="K27" s="73"/>
      <c r="L27" s="73"/>
      <c r="M27" s="73"/>
      <c r="N27" s="74">
        <f>20000000/6</f>
        <v>3333333.3333333335</v>
      </c>
      <c r="O27" s="74">
        <f t="shared" ref="O27:S27" si="15">20000000/6</f>
        <v>3333333.3333333335</v>
      </c>
      <c r="P27" s="74">
        <f t="shared" si="15"/>
        <v>3333333.3333333335</v>
      </c>
      <c r="Q27" s="74">
        <f t="shared" si="15"/>
        <v>3333333.3333333335</v>
      </c>
      <c r="R27" s="74">
        <f t="shared" si="15"/>
        <v>3333333.3333333335</v>
      </c>
      <c r="S27" s="74">
        <f t="shared" si="15"/>
        <v>3333333.3333333335</v>
      </c>
      <c r="T27" s="75"/>
      <c r="U27" s="99">
        <f t="shared" si="10"/>
        <v>20000000</v>
      </c>
      <c r="V27" s="64">
        <f t="shared" si="11"/>
        <v>0</v>
      </c>
    </row>
    <row r="28" spans="1:22" ht="38.25" x14ac:dyDescent="0.25">
      <c r="A28" s="2" t="s">
        <v>53</v>
      </c>
      <c r="B28" s="3" t="s">
        <v>54</v>
      </c>
      <c r="C28" s="64">
        <v>2300000</v>
      </c>
      <c r="D28" s="92"/>
      <c r="E28" s="93"/>
      <c r="F28" s="93"/>
      <c r="G28" s="94"/>
      <c r="H28" s="65">
        <f t="shared" si="8"/>
        <v>2300000</v>
      </c>
      <c r="I28" s="72"/>
      <c r="J28" s="73"/>
      <c r="K28" s="73"/>
      <c r="L28" s="73"/>
      <c r="M28" s="73"/>
      <c r="N28" s="74"/>
      <c r="O28" s="74">
        <f>2300000/5</f>
        <v>460000</v>
      </c>
      <c r="P28" s="74">
        <f t="shared" ref="P28:S28" si="16">2300000/5</f>
        <v>460000</v>
      </c>
      <c r="Q28" s="74">
        <f t="shared" si="16"/>
        <v>460000</v>
      </c>
      <c r="R28" s="74">
        <f t="shared" si="16"/>
        <v>460000</v>
      </c>
      <c r="S28" s="74">
        <f t="shared" si="16"/>
        <v>460000</v>
      </c>
      <c r="T28" s="75"/>
      <c r="U28" s="99">
        <f t="shared" si="10"/>
        <v>2300000</v>
      </c>
      <c r="V28" s="64">
        <f t="shared" si="11"/>
        <v>0</v>
      </c>
    </row>
    <row r="29" spans="1:22" ht="38.25" x14ac:dyDescent="0.25">
      <c r="A29" s="2" t="s">
        <v>55</v>
      </c>
      <c r="B29" s="3" t="s">
        <v>56</v>
      </c>
      <c r="C29" s="64">
        <v>200000</v>
      </c>
      <c r="D29" s="92"/>
      <c r="E29" s="93"/>
      <c r="F29" s="93"/>
      <c r="G29" s="94"/>
      <c r="H29" s="65">
        <f t="shared" si="8"/>
        <v>200000</v>
      </c>
      <c r="I29" s="72"/>
      <c r="J29" s="73"/>
      <c r="K29" s="73"/>
      <c r="L29" s="73"/>
      <c r="M29" s="73"/>
      <c r="N29" s="74">
        <f>200000/6</f>
        <v>33333.333333333336</v>
      </c>
      <c r="O29" s="74">
        <f t="shared" ref="O29:S29" si="17">200000/6</f>
        <v>33333.333333333336</v>
      </c>
      <c r="P29" s="74">
        <f t="shared" si="17"/>
        <v>33333.333333333336</v>
      </c>
      <c r="Q29" s="74">
        <f t="shared" si="17"/>
        <v>33333.333333333336</v>
      </c>
      <c r="R29" s="74">
        <f t="shared" si="17"/>
        <v>33333.333333333336</v>
      </c>
      <c r="S29" s="74">
        <f t="shared" si="17"/>
        <v>33333.333333333336</v>
      </c>
      <c r="T29" s="75"/>
      <c r="U29" s="99">
        <f t="shared" si="10"/>
        <v>200000.00000000003</v>
      </c>
      <c r="V29" s="64">
        <f t="shared" si="11"/>
        <v>0</v>
      </c>
    </row>
    <row r="30" spans="1:22" ht="38.25" x14ac:dyDescent="0.25">
      <c r="A30" s="2" t="s">
        <v>57</v>
      </c>
      <c r="B30" s="3" t="s">
        <v>58</v>
      </c>
      <c r="C30" s="64">
        <v>1500000</v>
      </c>
      <c r="D30" s="92"/>
      <c r="E30" s="93"/>
      <c r="F30" s="93"/>
      <c r="G30" s="94"/>
      <c r="H30" s="65">
        <f t="shared" si="8"/>
        <v>1500000</v>
      </c>
      <c r="I30" s="72">
        <v>146251</v>
      </c>
      <c r="J30" s="73">
        <v>114597</v>
      </c>
      <c r="K30" s="73">
        <v>100257</v>
      </c>
      <c r="L30" s="73"/>
      <c r="M30" s="63">
        <v>82943</v>
      </c>
      <c r="N30" s="74">
        <f>1055952/7</f>
        <v>150850.28571428571</v>
      </c>
      <c r="O30" s="74">
        <f t="shared" ref="O30:T30" si="18">1055952/7</f>
        <v>150850.28571428571</v>
      </c>
      <c r="P30" s="74">
        <f t="shared" si="18"/>
        <v>150850.28571428571</v>
      </c>
      <c r="Q30" s="74">
        <f t="shared" si="18"/>
        <v>150850.28571428571</v>
      </c>
      <c r="R30" s="74">
        <f t="shared" si="18"/>
        <v>150850.28571428571</v>
      </c>
      <c r="S30" s="74">
        <f t="shared" si="18"/>
        <v>150850.28571428571</v>
      </c>
      <c r="T30" s="74">
        <f t="shared" si="18"/>
        <v>150850.28571428571</v>
      </c>
      <c r="U30" s="99">
        <f t="shared" si="10"/>
        <v>1499999.9999999998</v>
      </c>
      <c r="V30" s="64">
        <f t="shared" si="11"/>
        <v>0</v>
      </c>
    </row>
    <row r="31" spans="1:22" ht="51" x14ac:dyDescent="0.25">
      <c r="A31" s="2" t="s">
        <v>79</v>
      </c>
      <c r="B31" s="3" t="s">
        <v>80</v>
      </c>
      <c r="C31" s="64">
        <v>0</v>
      </c>
      <c r="D31" s="92">
        <v>1075935</v>
      </c>
      <c r="E31" s="93"/>
      <c r="F31" s="93"/>
      <c r="G31" s="94"/>
      <c r="H31" s="65">
        <f t="shared" si="8"/>
        <v>1075935</v>
      </c>
      <c r="I31" s="72"/>
      <c r="J31" s="73"/>
      <c r="K31" s="73"/>
      <c r="L31" s="63">
        <v>82943</v>
      </c>
      <c r="M31" s="73"/>
      <c r="N31" s="74">
        <f>992992/7</f>
        <v>141856</v>
      </c>
      <c r="O31" s="74">
        <f t="shared" ref="O31:T31" si="19">992992/7</f>
        <v>141856</v>
      </c>
      <c r="P31" s="74">
        <f t="shared" si="19"/>
        <v>141856</v>
      </c>
      <c r="Q31" s="74">
        <f t="shared" si="19"/>
        <v>141856</v>
      </c>
      <c r="R31" s="74">
        <f t="shared" si="19"/>
        <v>141856</v>
      </c>
      <c r="S31" s="74">
        <f t="shared" si="19"/>
        <v>141856</v>
      </c>
      <c r="T31" s="74">
        <f t="shared" si="19"/>
        <v>141856</v>
      </c>
      <c r="U31" s="99">
        <f t="shared" si="10"/>
        <v>1075935</v>
      </c>
      <c r="V31" s="64">
        <f t="shared" si="11"/>
        <v>0</v>
      </c>
    </row>
    <row r="32" spans="1:22" ht="38.25" x14ac:dyDescent="0.25">
      <c r="A32" s="2" t="s">
        <v>59</v>
      </c>
      <c r="B32" s="3" t="s">
        <v>60</v>
      </c>
      <c r="C32" s="64">
        <v>5000000</v>
      </c>
      <c r="D32" s="92"/>
      <c r="E32" s="93"/>
      <c r="F32" s="93"/>
      <c r="G32" s="94"/>
      <c r="H32" s="65">
        <f t="shared" si="8"/>
        <v>5000000</v>
      </c>
      <c r="I32" s="72"/>
      <c r="J32" s="73"/>
      <c r="K32" s="73"/>
      <c r="L32" s="73"/>
      <c r="M32" s="73"/>
      <c r="N32" s="74">
        <f>5000000/6</f>
        <v>833333.33333333337</v>
      </c>
      <c r="O32" s="74">
        <f t="shared" ref="O32:S32" si="20">5000000/6</f>
        <v>833333.33333333337</v>
      </c>
      <c r="P32" s="74">
        <f t="shared" si="20"/>
        <v>833333.33333333337</v>
      </c>
      <c r="Q32" s="74">
        <f t="shared" si="20"/>
        <v>833333.33333333337</v>
      </c>
      <c r="R32" s="74">
        <f t="shared" si="20"/>
        <v>833333.33333333337</v>
      </c>
      <c r="S32" s="74">
        <f t="shared" si="20"/>
        <v>833333.33333333337</v>
      </c>
      <c r="T32" s="75"/>
      <c r="U32" s="99">
        <f t="shared" si="10"/>
        <v>5000000</v>
      </c>
      <c r="V32" s="64">
        <f t="shared" si="11"/>
        <v>0</v>
      </c>
    </row>
    <row r="33" spans="1:22" ht="38.25" x14ac:dyDescent="0.25">
      <c r="A33" s="2" t="s">
        <v>61</v>
      </c>
      <c r="B33" s="3" t="s">
        <v>62</v>
      </c>
      <c r="C33" s="64">
        <v>24000000</v>
      </c>
      <c r="D33" s="92"/>
      <c r="E33" s="93"/>
      <c r="F33" s="93"/>
      <c r="G33" s="94"/>
      <c r="H33" s="65">
        <f t="shared" si="8"/>
        <v>24000000</v>
      </c>
      <c r="I33" s="72"/>
      <c r="J33" s="73"/>
      <c r="K33" s="73"/>
      <c r="L33" s="73"/>
      <c r="M33" s="73"/>
      <c r="N33" s="74">
        <f>24000000/6</f>
        <v>4000000</v>
      </c>
      <c r="O33" s="74">
        <f t="shared" ref="O33:S33" si="21">24000000/6</f>
        <v>4000000</v>
      </c>
      <c r="P33" s="74">
        <f t="shared" si="21"/>
        <v>4000000</v>
      </c>
      <c r="Q33" s="74">
        <f t="shared" si="21"/>
        <v>4000000</v>
      </c>
      <c r="R33" s="74">
        <f t="shared" si="21"/>
        <v>4000000</v>
      </c>
      <c r="S33" s="74">
        <f t="shared" si="21"/>
        <v>4000000</v>
      </c>
      <c r="T33" s="75"/>
      <c r="U33" s="99">
        <f t="shared" si="10"/>
        <v>24000000</v>
      </c>
      <c r="V33" s="64">
        <f t="shared" si="11"/>
        <v>0</v>
      </c>
    </row>
    <row r="34" spans="1:22" ht="51" x14ac:dyDescent="0.25">
      <c r="A34" s="2" t="s">
        <v>81</v>
      </c>
      <c r="B34" s="3" t="s">
        <v>82</v>
      </c>
      <c r="C34" s="64">
        <v>0</v>
      </c>
      <c r="D34" s="92">
        <v>8000000</v>
      </c>
      <c r="E34" s="93"/>
      <c r="F34" s="93"/>
      <c r="G34" s="94"/>
      <c r="H34" s="65">
        <f t="shared" si="8"/>
        <v>8000000</v>
      </c>
      <c r="I34" s="72"/>
      <c r="J34" s="73"/>
      <c r="K34" s="73">
        <v>2000000</v>
      </c>
      <c r="L34" s="63">
        <v>2000000</v>
      </c>
      <c r="M34" s="63">
        <v>2000000</v>
      </c>
      <c r="N34" s="74">
        <f>2000000/6</f>
        <v>333333.33333333331</v>
      </c>
      <c r="O34" s="74">
        <f t="shared" ref="O34:S34" si="22">2000000/6</f>
        <v>333333.33333333331</v>
      </c>
      <c r="P34" s="74">
        <f t="shared" si="22"/>
        <v>333333.33333333331</v>
      </c>
      <c r="Q34" s="74">
        <f t="shared" si="22"/>
        <v>333333.33333333331</v>
      </c>
      <c r="R34" s="74">
        <f t="shared" si="22"/>
        <v>333333.33333333331</v>
      </c>
      <c r="S34" s="74">
        <f t="shared" si="22"/>
        <v>333333.33333333331</v>
      </c>
      <c r="T34" s="75"/>
      <c r="U34" s="99">
        <f t="shared" si="10"/>
        <v>7999999.9999999981</v>
      </c>
      <c r="V34" s="64">
        <f t="shared" si="11"/>
        <v>0</v>
      </c>
    </row>
    <row r="35" spans="1:22" ht="38.25" x14ac:dyDescent="0.25">
      <c r="A35" s="2" t="s">
        <v>63</v>
      </c>
      <c r="B35" s="3" t="s">
        <v>64</v>
      </c>
      <c r="C35" s="64">
        <v>7200000</v>
      </c>
      <c r="D35" s="92"/>
      <c r="E35" s="93"/>
      <c r="F35" s="93"/>
      <c r="G35" s="94"/>
      <c r="H35" s="65">
        <f t="shared" si="8"/>
        <v>7200000</v>
      </c>
      <c r="I35" s="72"/>
      <c r="J35" s="73"/>
      <c r="K35" s="73"/>
      <c r="L35" s="73"/>
      <c r="M35" s="73"/>
      <c r="N35" s="74"/>
      <c r="O35" s="74">
        <f>7200000/5</f>
        <v>1440000</v>
      </c>
      <c r="P35" s="74">
        <f t="shared" ref="P35:S35" si="23">7200000/5</f>
        <v>1440000</v>
      </c>
      <c r="Q35" s="74">
        <f t="shared" si="23"/>
        <v>1440000</v>
      </c>
      <c r="R35" s="74">
        <f t="shared" si="23"/>
        <v>1440000</v>
      </c>
      <c r="S35" s="74">
        <f t="shared" si="23"/>
        <v>1440000</v>
      </c>
      <c r="T35" s="75"/>
      <c r="U35" s="99">
        <f t="shared" si="10"/>
        <v>7200000</v>
      </c>
      <c r="V35" s="64">
        <f t="shared" si="11"/>
        <v>0</v>
      </c>
    </row>
    <row r="36" spans="1:22" ht="38.25" x14ac:dyDescent="0.25">
      <c r="A36" s="2" t="s">
        <v>65</v>
      </c>
      <c r="B36" s="3" t="s">
        <v>66</v>
      </c>
      <c r="C36" s="64">
        <v>8500000</v>
      </c>
      <c r="D36" s="92"/>
      <c r="E36" s="93"/>
      <c r="F36" s="93"/>
      <c r="G36" s="94"/>
      <c r="H36" s="65">
        <f t="shared" si="8"/>
        <v>8500000</v>
      </c>
      <c r="I36" s="72"/>
      <c r="J36" s="73"/>
      <c r="K36" s="73"/>
      <c r="L36" s="73"/>
      <c r="M36" s="73"/>
      <c r="N36" s="74">
        <f>8500000/6</f>
        <v>1416666.6666666667</v>
      </c>
      <c r="O36" s="74">
        <f t="shared" ref="O36:S36" si="24">8500000/6</f>
        <v>1416666.6666666667</v>
      </c>
      <c r="P36" s="74">
        <f t="shared" si="24"/>
        <v>1416666.6666666667</v>
      </c>
      <c r="Q36" s="74">
        <f t="shared" si="24"/>
        <v>1416666.6666666667</v>
      </c>
      <c r="R36" s="74">
        <f t="shared" si="24"/>
        <v>1416666.6666666667</v>
      </c>
      <c r="S36" s="74">
        <f t="shared" si="24"/>
        <v>1416666.6666666667</v>
      </c>
      <c r="T36" s="75"/>
      <c r="U36" s="99">
        <f t="shared" si="10"/>
        <v>8500000</v>
      </c>
      <c r="V36" s="64">
        <f t="shared" si="11"/>
        <v>0</v>
      </c>
    </row>
    <row r="37" spans="1:22" ht="38.25" x14ac:dyDescent="0.25">
      <c r="A37" s="2" t="s">
        <v>67</v>
      </c>
      <c r="B37" s="3" t="s">
        <v>68</v>
      </c>
      <c r="C37" s="64">
        <v>4800000</v>
      </c>
      <c r="D37" s="92"/>
      <c r="E37" s="93"/>
      <c r="F37" s="93"/>
      <c r="G37" s="94"/>
      <c r="H37" s="65">
        <f t="shared" si="8"/>
        <v>4800000</v>
      </c>
      <c r="I37" s="72"/>
      <c r="J37" s="73"/>
      <c r="K37" s="73"/>
      <c r="L37" s="73"/>
      <c r="M37" s="73"/>
      <c r="N37" s="74">
        <f>4800000/6</f>
        <v>800000</v>
      </c>
      <c r="O37" s="74">
        <f t="shared" ref="O37:S37" si="25">4800000/6</f>
        <v>800000</v>
      </c>
      <c r="P37" s="74">
        <f t="shared" si="25"/>
        <v>800000</v>
      </c>
      <c r="Q37" s="74">
        <f t="shared" si="25"/>
        <v>800000</v>
      </c>
      <c r="R37" s="74">
        <f t="shared" si="25"/>
        <v>800000</v>
      </c>
      <c r="S37" s="74">
        <f t="shared" si="25"/>
        <v>800000</v>
      </c>
      <c r="T37" s="75"/>
      <c r="U37" s="99">
        <f t="shared" si="10"/>
        <v>4800000</v>
      </c>
      <c r="V37" s="64">
        <f t="shared" si="11"/>
        <v>0</v>
      </c>
    </row>
    <row r="38" spans="1:22" ht="38.25" x14ac:dyDescent="0.25">
      <c r="A38" s="2" t="s">
        <v>69</v>
      </c>
      <c r="B38" s="3" t="s">
        <v>70</v>
      </c>
      <c r="C38" s="64">
        <v>6500000</v>
      </c>
      <c r="D38" s="92"/>
      <c r="E38" s="93"/>
      <c r="F38" s="93"/>
      <c r="G38" s="94"/>
      <c r="H38" s="65">
        <f t="shared" si="8"/>
        <v>6500000</v>
      </c>
      <c r="I38" s="72"/>
      <c r="J38" s="73"/>
      <c r="K38" s="73"/>
      <c r="L38" s="63">
        <v>688921</v>
      </c>
      <c r="M38" s="63">
        <v>742641</v>
      </c>
      <c r="N38" s="74">
        <f>5068438/6</f>
        <v>844739.66666666663</v>
      </c>
      <c r="O38" s="74">
        <f t="shared" ref="O38:S38" si="26">5068438/6</f>
        <v>844739.66666666663</v>
      </c>
      <c r="P38" s="74">
        <f t="shared" si="26"/>
        <v>844739.66666666663</v>
      </c>
      <c r="Q38" s="74">
        <f t="shared" si="26"/>
        <v>844739.66666666663</v>
      </c>
      <c r="R38" s="74">
        <f t="shared" si="26"/>
        <v>844739.66666666663</v>
      </c>
      <c r="S38" s="74">
        <f t="shared" si="26"/>
        <v>844739.66666666663</v>
      </c>
      <c r="T38" s="74"/>
      <c r="U38" s="99">
        <f t="shared" si="10"/>
        <v>6500000</v>
      </c>
      <c r="V38" s="64">
        <f t="shared" si="11"/>
        <v>0</v>
      </c>
    </row>
    <row r="39" spans="1:22" ht="51" x14ac:dyDescent="0.25">
      <c r="A39" s="2" t="s">
        <v>71</v>
      </c>
      <c r="B39" s="3" t="s">
        <v>72</v>
      </c>
      <c r="C39" s="64">
        <v>1000</v>
      </c>
      <c r="D39" s="92">
        <v>6546317</v>
      </c>
      <c r="E39" s="93"/>
      <c r="F39" s="93"/>
      <c r="G39" s="94"/>
      <c r="H39" s="65">
        <f t="shared" si="8"/>
        <v>6547317</v>
      </c>
      <c r="I39" s="72">
        <v>46945</v>
      </c>
      <c r="J39" s="73">
        <v>1308030</v>
      </c>
      <c r="K39" s="73">
        <v>765517</v>
      </c>
      <c r="L39" s="73"/>
      <c r="M39" s="73"/>
      <c r="N39" s="74">
        <f>4426825/7</f>
        <v>632403.57142857148</v>
      </c>
      <c r="O39" s="74">
        <f t="shared" ref="O39:T39" si="27">4426825/7</f>
        <v>632403.57142857148</v>
      </c>
      <c r="P39" s="74">
        <f t="shared" si="27"/>
        <v>632403.57142857148</v>
      </c>
      <c r="Q39" s="74">
        <f t="shared" si="27"/>
        <v>632403.57142857148</v>
      </c>
      <c r="R39" s="74">
        <f t="shared" si="27"/>
        <v>632403.57142857148</v>
      </c>
      <c r="S39" s="74">
        <f t="shared" si="27"/>
        <v>632403.57142857148</v>
      </c>
      <c r="T39" s="74">
        <f t="shared" si="27"/>
        <v>632403.57142857148</v>
      </c>
      <c r="U39" s="99">
        <f t="shared" si="10"/>
        <v>6547317.0000000009</v>
      </c>
      <c r="V39" s="64">
        <f t="shared" si="11"/>
        <v>0</v>
      </c>
    </row>
    <row r="40" spans="1:22" ht="38.25" x14ac:dyDescent="0.25">
      <c r="A40" s="2" t="s">
        <v>73</v>
      </c>
      <c r="B40" s="3" t="s">
        <v>74</v>
      </c>
      <c r="C40" s="64">
        <v>1000</v>
      </c>
      <c r="D40" s="92"/>
      <c r="E40" s="93"/>
      <c r="F40" s="93"/>
      <c r="G40" s="94"/>
      <c r="H40" s="65">
        <f t="shared" si="8"/>
        <v>1000</v>
      </c>
      <c r="I40" s="72"/>
      <c r="J40" s="73"/>
      <c r="K40" s="73"/>
      <c r="L40" s="73"/>
      <c r="M40" s="73"/>
      <c r="N40" s="74">
        <f>1000/7</f>
        <v>142.85714285714286</v>
      </c>
      <c r="O40" s="74">
        <f t="shared" ref="O40:T40" si="28">1000/7</f>
        <v>142.85714285714286</v>
      </c>
      <c r="P40" s="74">
        <f t="shared" si="28"/>
        <v>142.85714285714286</v>
      </c>
      <c r="Q40" s="74">
        <f t="shared" si="28"/>
        <v>142.85714285714286</v>
      </c>
      <c r="R40" s="74">
        <f t="shared" si="28"/>
        <v>142.85714285714286</v>
      </c>
      <c r="S40" s="74">
        <f t="shared" si="28"/>
        <v>142.85714285714286</v>
      </c>
      <c r="T40" s="74">
        <f t="shared" si="28"/>
        <v>142.85714285714286</v>
      </c>
      <c r="U40" s="99">
        <f t="shared" si="10"/>
        <v>1000.0000000000001</v>
      </c>
      <c r="V40" s="64">
        <f t="shared" si="11"/>
        <v>0</v>
      </c>
    </row>
    <row r="41" spans="1:22" ht="13.5" thickBot="1" x14ac:dyDescent="0.3">
      <c r="A41" s="6"/>
      <c r="B41" s="7"/>
      <c r="C41" s="76"/>
      <c r="D41" s="100"/>
      <c r="E41" s="79"/>
      <c r="F41" s="79"/>
      <c r="G41" s="101"/>
      <c r="H41" s="102"/>
      <c r="I41" s="81"/>
      <c r="J41" s="82"/>
      <c r="K41" s="82"/>
      <c r="L41" s="82"/>
      <c r="M41" s="82"/>
      <c r="N41" s="83"/>
      <c r="O41" s="83"/>
      <c r="P41" s="83"/>
      <c r="Q41" s="83"/>
      <c r="R41" s="83"/>
      <c r="S41" s="83"/>
      <c r="T41" s="84"/>
      <c r="U41" s="103"/>
      <c r="V41" s="76"/>
    </row>
    <row r="42" spans="1:22" ht="13.5" thickBot="1" x14ac:dyDescent="0.3">
      <c r="A42" s="135" t="s">
        <v>26</v>
      </c>
      <c r="B42" s="136"/>
      <c r="C42" s="85">
        <f t="shared" ref="C42:V42" si="29">SUM(C22:C41)</f>
        <v>112503000</v>
      </c>
      <c r="D42" s="104">
        <f t="shared" si="29"/>
        <v>51561812</v>
      </c>
      <c r="E42" s="105">
        <f t="shared" si="29"/>
        <v>0</v>
      </c>
      <c r="F42" s="105">
        <f t="shared" si="29"/>
        <v>0</v>
      </c>
      <c r="G42" s="106">
        <f t="shared" si="29"/>
        <v>0</v>
      </c>
      <c r="H42" s="85">
        <f t="shared" si="29"/>
        <v>164064812</v>
      </c>
      <c r="I42" s="86">
        <f t="shared" si="29"/>
        <v>193196</v>
      </c>
      <c r="J42" s="87">
        <f t="shared" si="29"/>
        <v>1422627</v>
      </c>
      <c r="K42" s="87">
        <f t="shared" si="29"/>
        <v>2865774</v>
      </c>
      <c r="L42" s="87">
        <f t="shared" si="29"/>
        <v>2771864</v>
      </c>
      <c r="M42" s="87">
        <f t="shared" si="29"/>
        <v>21740084</v>
      </c>
      <c r="N42" s="87">
        <f t="shared" si="29"/>
        <v>17691002.380952384</v>
      </c>
      <c r="O42" s="87">
        <f t="shared" si="29"/>
        <v>23291002.380952384</v>
      </c>
      <c r="P42" s="87">
        <f t="shared" si="29"/>
        <v>23291002.380952384</v>
      </c>
      <c r="Q42" s="87">
        <f t="shared" si="29"/>
        <v>23291002.380952384</v>
      </c>
      <c r="R42" s="87">
        <f t="shared" si="29"/>
        <v>23291002.380952384</v>
      </c>
      <c r="S42" s="87">
        <f t="shared" si="29"/>
        <v>23291002.380952384</v>
      </c>
      <c r="T42" s="107">
        <f t="shared" si="29"/>
        <v>925252.71428571432</v>
      </c>
      <c r="U42" s="108">
        <f t="shared" si="29"/>
        <v>164064812</v>
      </c>
      <c r="V42" s="85">
        <f t="shared" si="29"/>
        <v>0</v>
      </c>
    </row>
  </sheetData>
  <mergeCells count="67">
    <mergeCell ref="A1:V1"/>
    <mergeCell ref="A2:V2"/>
    <mergeCell ref="A3:V3"/>
    <mergeCell ref="A5:V5"/>
    <mergeCell ref="A6:A7"/>
    <mergeCell ref="B6:B7"/>
    <mergeCell ref="C6:C7"/>
    <mergeCell ref="D6:G6"/>
    <mergeCell ref="H6:H7"/>
    <mergeCell ref="I6:I7"/>
    <mergeCell ref="V6:V7"/>
    <mergeCell ref="S6:S7"/>
    <mergeCell ref="T6:T7"/>
    <mergeCell ref="U6:U7"/>
    <mergeCell ref="D9:E9"/>
    <mergeCell ref="F9:G9"/>
    <mergeCell ref="P6:P7"/>
    <mergeCell ref="Q6:Q7"/>
    <mergeCell ref="R6:R7"/>
    <mergeCell ref="J6:J7"/>
    <mergeCell ref="K6:K7"/>
    <mergeCell ref="L6:L7"/>
    <mergeCell ref="M6:M7"/>
    <mergeCell ref="N6:N7"/>
    <mergeCell ref="O6:O7"/>
    <mergeCell ref="D7:E7"/>
    <mergeCell ref="F7:G7"/>
    <mergeCell ref="D8:E8"/>
    <mergeCell ref="F8:G8"/>
    <mergeCell ref="D10:E10"/>
    <mergeCell ref="F10:G10"/>
    <mergeCell ref="D11:E11"/>
    <mergeCell ref="F11:G11"/>
    <mergeCell ref="D12:E12"/>
    <mergeCell ref="F12:G12"/>
    <mergeCell ref="A17:B17"/>
    <mergeCell ref="D17:E17"/>
    <mergeCell ref="F17:G17"/>
    <mergeCell ref="A19:V19"/>
    <mergeCell ref="D13:E13"/>
    <mergeCell ref="F13:G13"/>
    <mergeCell ref="D14:E14"/>
    <mergeCell ref="F14:G14"/>
    <mergeCell ref="D15:E15"/>
    <mergeCell ref="F15:G15"/>
    <mergeCell ref="C20:C21"/>
    <mergeCell ref="D20:G20"/>
    <mergeCell ref="H20:H21"/>
    <mergeCell ref="I20:I21"/>
    <mergeCell ref="D16:E16"/>
    <mergeCell ref="F16:G16"/>
    <mergeCell ref="V20:V21"/>
    <mergeCell ref="A42:B42"/>
    <mergeCell ref="P20:P21"/>
    <mergeCell ref="Q20:Q21"/>
    <mergeCell ref="R20:R21"/>
    <mergeCell ref="S20:S21"/>
    <mergeCell ref="T20:T21"/>
    <mergeCell ref="U20:U21"/>
    <mergeCell ref="J20:J21"/>
    <mergeCell ref="K20:K21"/>
    <mergeCell ref="L20:L21"/>
    <mergeCell ref="M20:M21"/>
    <mergeCell ref="N20:N21"/>
    <mergeCell ref="O20:O21"/>
    <mergeCell ref="A20:A21"/>
    <mergeCell ref="B20:B21"/>
  </mergeCells>
  <printOptions horizontalCentered="1" verticalCentered="1"/>
  <pageMargins left="0.39370078740157483" right="0.39370078740157483" top="0.39370078740157483" bottom="0.59055118110236227" header="0.39370078740157483" footer="0.39370078740157483"/>
  <pageSetup paperSize="258" scale="75" orientation="landscape" r:id="rId1"/>
  <headerFooter>
    <oddFooter>&amp;L&amp;F&amp;C&amp;A&amp;R&amp;P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topLeftCell="B1" zoomScale="90" zoomScaleNormal="90" workbookViewId="0">
      <selection activeCell="N9" sqref="N9"/>
    </sheetView>
  </sheetViews>
  <sheetFormatPr baseColWidth="10" defaultColWidth="11.42578125" defaultRowHeight="12.75" x14ac:dyDescent="0.25"/>
  <cols>
    <col min="1" max="1" width="6" style="1" customWidth="1"/>
    <col min="2" max="2" width="11.85546875" style="1" customWidth="1"/>
    <col min="3" max="3" width="11.85546875" style="109" customWidth="1"/>
    <col min="4" max="4" width="10.85546875" style="109" customWidth="1"/>
    <col min="5" max="7" width="3.7109375" style="109" customWidth="1"/>
    <col min="8" max="8" width="11.85546875" style="109" customWidth="1"/>
    <col min="9" max="10" width="10.85546875" style="109" customWidth="1"/>
    <col min="11" max="12" width="9.7109375" style="109" customWidth="1"/>
    <col min="13" max="19" width="10.85546875" style="109" customWidth="1"/>
    <col min="20" max="20" width="9.7109375" style="109" customWidth="1"/>
    <col min="21" max="21" width="11.85546875" style="109" customWidth="1"/>
    <col min="22" max="22" width="10.85546875" style="109" customWidth="1"/>
    <col min="23" max="23" width="11.5703125" style="1" bestFit="1" customWidth="1"/>
    <col min="24" max="16384" width="11.42578125" style="1"/>
  </cols>
  <sheetData>
    <row r="1" spans="1:22" ht="13.15" x14ac:dyDescent="0.3">
      <c r="A1" s="124" t="s">
        <v>27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</row>
    <row r="2" spans="1:22" ht="13.15" x14ac:dyDescent="0.3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22" ht="13.15" x14ac:dyDescent="0.3">
      <c r="A3" s="124" t="s">
        <v>28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</row>
    <row r="5" spans="1:22" ht="13.9" thickBot="1" x14ac:dyDescent="0.35">
      <c r="A5" s="124" t="s">
        <v>1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</row>
    <row r="6" spans="1:22" x14ac:dyDescent="0.25">
      <c r="A6" s="125" t="s">
        <v>2</v>
      </c>
      <c r="B6" s="127" t="s">
        <v>3</v>
      </c>
      <c r="C6" s="154" t="s">
        <v>4</v>
      </c>
      <c r="D6" s="162" t="s">
        <v>5</v>
      </c>
      <c r="E6" s="163"/>
      <c r="F6" s="163"/>
      <c r="G6" s="164"/>
      <c r="H6" s="154" t="s">
        <v>8</v>
      </c>
      <c r="I6" s="165" t="s">
        <v>9</v>
      </c>
      <c r="J6" s="156" t="s">
        <v>10</v>
      </c>
      <c r="K6" s="156" t="s">
        <v>11</v>
      </c>
      <c r="L6" s="156" t="s">
        <v>12</v>
      </c>
      <c r="M6" s="156" t="s">
        <v>13</v>
      </c>
      <c r="N6" s="156" t="s">
        <v>14</v>
      </c>
      <c r="O6" s="156" t="s">
        <v>15</v>
      </c>
      <c r="P6" s="156" t="s">
        <v>16</v>
      </c>
      <c r="Q6" s="156" t="s">
        <v>17</v>
      </c>
      <c r="R6" s="156" t="s">
        <v>18</v>
      </c>
      <c r="S6" s="156" t="s">
        <v>19</v>
      </c>
      <c r="T6" s="158" t="s">
        <v>20</v>
      </c>
      <c r="U6" s="154" t="s">
        <v>21</v>
      </c>
      <c r="V6" s="154" t="s">
        <v>22</v>
      </c>
    </row>
    <row r="7" spans="1:22" ht="13.5" thickBot="1" x14ac:dyDescent="0.3">
      <c r="A7" s="126"/>
      <c r="B7" s="128"/>
      <c r="C7" s="155"/>
      <c r="D7" s="175" t="s">
        <v>6</v>
      </c>
      <c r="E7" s="176"/>
      <c r="F7" s="176" t="s">
        <v>7</v>
      </c>
      <c r="G7" s="177"/>
      <c r="H7" s="155"/>
      <c r="I7" s="186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7"/>
      <c r="U7" s="155"/>
      <c r="V7" s="155"/>
    </row>
    <row r="8" spans="1:22" ht="132" x14ac:dyDescent="0.3">
      <c r="A8" s="2" t="s">
        <v>29</v>
      </c>
      <c r="B8" s="3" t="s">
        <v>30</v>
      </c>
      <c r="C8" s="64">
        <v>3000000</v>
      </c>
      <c r="D8" s="178"/>
      <c r="E8" s="179"/>
      <c r="F8" s="179"/>
      <c r="G8" s="180"/>
      <c r="H8" s="65">
        <f>C8+D8-F8</f>
        <v>3000000</v>
      </c>
      <c r="I8" s="96"/>
      <c r="J8" s="97">
        <v>0</v>
      </c>
      <c r="K8" s="97">
        <v>0</v>
      </c>
      <c r="L8" s="97"/>
      <c r="M8" s="110">
        <v>810000</v>
      </c>
      <c r="N8" s="110">
        <v>3240000</v>
      </c>
      <c r="O8" s="93"/>
      <c r="P8" s="93"/>
      <c r="Q8" s="93"/>
      <c r="R8" s="93"/>
      <c r="S8" s="93"/>
      <c r="T8" s="93"/>
      <c r="U8" s="64">
        <f>SUM(I8:T8)</f>
        <v>4050000</v>
      </c>
      <c r="V8" s="64">
        <f>H8-U8</f>
        <v>-1050000</v>
      </c>
    </row>
    <row r="9" spans="1:22" ht="66" x14ac:dyDescent="0.3">
      <c r="A9" s="4" t="s">
        <v>31</v>
      </c>
      <c r="B9" s="5" t="s">
        <v>32</v>
      </c>
      <c r="C9" s="70">
        <v>3300000</v>
      </c>
      <c r="D9" s="172"/>
      <c r="E9" s="173"/>
      <c r="F9" s="173"/>
      <c r="G9" s="174"/>
      <c r="H9" s="71">
        <f t="shared" ref="H9:H16" si="0">C9+D9-F9</f>
        <v>3300000</v>
      </c>
      <c r="I9" s="72">
        <v>407000</v>
      </c>
      <c r="J9" s="73">
        <v>204500</v>
      </c>
      <c r="K9" s="73">
        <v>139000</v>
      </c>
      <c r="L9" s="73">
        <v>42000</v>
      </c>
      <c r="M9" s="63">
        <v>252000</v>
      </c>
      <c r="N9" s="63">
        <v>84000</v>
      </c>
      <c r="O9" s="74">
        <f>2171500/6</f>
        <v>361916.66666666669</v>
      </c>
      <c r="P9" s="74">
        <f t="shared" ref="P9:T9" si="1">2171500/6</f>
        <v>361916.66666666669</v>
      </c>
      <c r="Q9" s="74">
        <f t="shared" si="1"/>
        <v>361916.66666666669</v>
      </c>
      <c r="R9" s="74">
        <f t="shared" si="1"/>
        <v>361916.66666666669</v>
      </c>
      <c r="S9" s="74">
        <f t="shared" si="1"/>
        <v>361916.66666666669</v>
      </c>
      <c r="T9" s="74">
        <f t="shared" si="1"/>
        <v>361916.66666666669</v>
      </c>
      <c r="U9" s="70">
        <f t="shared" ref="U9:U16" si="2">SUM(I9:T9)</f>
        <v>3299999.9999999995</v>
      </c>
      <c r="V9" s="70">
        <f t="shared" ref="V9:V16" si="3">H9-U9</f>
        <v>0</v>
      </c>
    </row>
    <row r="10" spans="1:22" ht="39.6" x14ac:dyDescent="0.3">
      <c r="A10" s="4" t="s">
        <v>33</v>
      </c>
      <c r="B10" s="5" t="s">
        <v>34</v>
      </c>
      <c r="C10" s="70">
        <v>78000000</v>
      </c>
      <c r="D10" s="172"/>
      <c r="E10" s="173"/>
      <c r="F10" s="173"/>
      <c r="G10" s="174"/>
      <c r="H10" s="71">
        <f t="shared" si="0"/>
        <v>78000000</v>
      </c>
      <c r="I10" s="72"/>
      <c r="J10" s="73">
        <v>62478528</v>
      </c>
      <c r="K10" s="73"/>
      <c r="L10" s="73"/>
      <c r="M10" s="73"/>
      <c r="N10" s="73"/>
      <c r="O10" s="74">
        <v>15521472</v>
      </c>
      <c r="P10" s="74"/>
      <c r="Q10" s="74"/>
      <c r="R10" s="74"/>
      <c r="S10" s="74"/>
      <c r="T10" s="75"/>
      <c r="U10" s="70">
        <f t="shared" si="2"/>
        <v>78000000</v>
      </c>
      <c r="V10" s="70">
        <f t="shared" si="3"/>
        <v>0</v>
      </c>
    </row>
    <row r="11" spans="1:22" ht="39.6" x14ac:dyDescent="0.3">
      <c r="A11" s="4" t="s">
        <v>35</v>
      </c>
      <c r="B11" s="5" t="s">
        <v>36</v>
      </c>
      <c r="C11" s="70">
        <v>28000000</v>
      </c>
      <c r="D11" s="172"/>
      <c r="E11" s="173"/>
      <c r="F11" s="173"/>
      <c r="G11" s="174"/>
      <c r="H11" s="71">
        <f t="shared" si="0"/>
        <v>28000000</v>
      </c>
      <c r="I11" s="72"/>
      <c r="J11" s="73"/>
      <c r="K11" s="73"/>
      <c r="L11" s="73"/>
      <c r="M11" s="73"/>
      <c r="N11" s="73"/>
      <c r="O11" s="74">
        <v>28000000</v>
      </c>
      <c r="P11" s="74"/>
      <c r="Q11" s="74"/>
      <c r="R11" s="74"/>
      <c r="S11" s="74"/>
      <c r="T11" s="75"/>
      <c r="U11" s="70">
        <f t="shared" si="2"/>
        <v>28000000</v>
      </c>
      <c r="V11" s="70">
        <f t="shared" si="3"/>
        <v>0</v>
      </c>
    </row>
    <row r="12" spans="1:22" ht="26.45" x14ac:dyDescent="0.3">
      <c r="A12" s="4" t="s">
        <v>37</v>
      </c>
      <c r="B12" s="5" t="s">
        <v>38</v>
      </c>
      <c r="C12" s="70">
        <v>200000</v>
      </c>
      <c r="D12" s="172"/>
      <c r="E12" s="173"/>
      <c r="F12" s="173"/>
      <c r="G12" s="174"/>
      <c r="H12" s="71">
        <f t="shared" si="0"/>
        <v>200000</v>
      </c>
      <c r="I12" s="72">
        <v>1100</v>
      </c>
      <c r="J12" s="73">
        <v>1787</v>
      </c>
      <c r="K12" s="73">
        <v>6206</v>
      </c>
      <c r="L12" s="63">
        <v>5859</v>
      </c>
      <c r="M12" s="63">
        <v>5872</v>
      </c>
      <c r="N12" s="63">
        <v>5641</v>
      </c>
      <c r="O12" s="74">
        <f>173535/6</f>
        <v>28922.5</v>
      </c>
      <c r="P12" s="74">
        <f t="shared" ref="P12:T12" si="4">173535/6</f>
        <v>28922.5</v>
      </c>
      <c r="Q12" s="74">
        <f t="shared" si="4"/>
        <v>28922.5</v>
      </c>
      <c r="R12" s="74">
        <f t="shared" si="4"/>
        <v>28922.5</v>
      </c>
      <c r="S12" s="74">
        <f t="shared" si="4"/>
        <v>28922.5</v>
      </c>
      <c r="T12" s="74">
        <f t="shared" si="4"/>
        <v>28922.5</v>
      </c>
      <c r="U12" s="70">
        <f t="shared" si="2"/>
        <v>200000</v>
      </c>
      <c r="V12" s="70">
        <f t="shared" si="3"/>
        <v>0</v>
      </c>
    </row>
    <row r="13" spans="1:22" ht="25.5" x14ac:dyDescent="0.25">
      <c r="A13" s="6" t="s">
        <v>39</v>
      </c>
      <c r="B13" s="7" t="s">
        <v>40</v>
      </c>
      <c r="C13" s="76">
        <v>1000</v>
      </c>
      <c r="D13" s="172">
        <v>1075935</v>
      </c>
      <c r="E13" s="173"/>
      <c r="F13" s="173"/>
      <c r="G13" s="174"/>
      <c r="H13" s="71">
        <f t="shared" si="0"/>
        <v>1076935</v>
      </c>
      <c r="I13" s="77">
        <v>1075935</v>
      </c>
      <c r="J13" s="78"/>
      <c r="K13" s="78"/>
      <c r="L13" s="78"/>
      <c r="M13" s="78"/>
      <c r="N13" s="78"/>
      <c r="O13" s="79">
        <v>1000</v>
      </c>
      <c r="P13" s="79"/>
      <c r="Q13" s="79"/>
      <c r="R13" s="79"/>
      <c r="S13" s="79"/>
      <c r="T13" s="80"/>
      <c r="U13" s="70">
        <f t="shared" si="2"/>
        <v>1076935</v>
      </c>
      <c r="V13" s="70">
        <f t="shared" si="3"/>
        <v>0</v>
      </c>
    </row>
    <row r="14" spans="1:22" ht="25.5" x14ac:dyDescent="0.25">
      <c r="A14" s="6" t="s">
        <v>41</v>
      </c>
      <c r="B14" s="7" t="s">
        <v>42</v>
      </c>
      <c r="C14" s="76">
        <v>1000</v>
      </c>
      <c r="D14" s="172">
        <v>30546317</v>
      </c>
      <c r="E14" s="173"/>
      <c r="F14" s="173"/>
      <c r="G14" s="174"/>
      <c r="H14" s="71">
        <f t="shared" si="0"/>
        <v>30547317</v>
      </c>
      <c r="I14" s="77">
        <v>30546317</v>
      </c>
      <c r="J14" s="78"/>
      <c r="K14" s="78"/>
      <c r="L14" s="78"/>
      <c r="M14" s="78"/>
      <c r="N14" s="78"/>
      <c r="O14" s="79">
        <v>1000</v>
      </c>
      <c r="P14" s="79"/>
      <c r="Q14" s="79"/>
      <c r="R14" s="79"/>
      <c r="S14" s="79"/>
      <c r="T14" s="80"/>
      <c r="U14" s="70">
        <f t="shared" si="2"/>
        <v>30547317</v>
      </c>
      <c r="V14" s="70">
        <f t="shared" si="3"/>
        <v>0</v>
      </c>
    </row>
    <row r="15" spans="1:22" ht="25.5" x14ac:dyDescent="0.25">
      <c r="A15" s="6" t="s">
        <v>43</v>
      </c>
      <c r="B15" s="7" t="s">
        <v>44</v>
      </c>
      <c r="C15" s="76">
        <v>1000</v>
      </c>
      <c r="D15" s="172">
        <v>19939560</v>
      </c>
      <c r="E15" s="173"/>
      <c r="F15" s="173"/>
      <c r="G15" s="174"/>
      <c r="H15" s="71">
        <f t="shared" si="0"/>
        <v>19940560</v>
      </c>
      <c r="I15" s="77">
        <v>19939560</v>
      </c>
      <c r="J15" s="78"/>
      <c r="K15" s="78"/>
      <c r="L15" s="78"/>
      <c r="M15" s="78"/>
      <c r="N15" s="78"/>
      <c r="O15" s="79">
        <v>1000</v>
      </c>
      <c r="P15" s="79"/>
      <c r="Q15" s="79"/>
      <c r="R15" s="79"/>
      <c r="S15" s="79"/>
      <c r="T15" s="80"/>
      <c r="U15" s="70">
        <f t="shared" si="2"/>
        <v>19940560</v>
      </c>
      <c r="V15" s="70">
        <f t="shared" si="3"/>
        <v>0</v>
      </c>
    </row>
    <row r="16" spans="1:22" ht="13.5" thickBot="1" x14ac:dyDescent="0.3">
      <c r="A16" s="6"/>
      <c r="B16" s="7"/>
      <c r="C16" s="76"/>
      <c r="D16" s="167"/>
      <c r="E16" s="168"/>
      <c r="F16" s="168"/>
      <c r="G16" s="169"/>
      <c r="H16" s="71">
        <f t="shared" si="0"/>
        <v>0</v>
      </c>
      <c r="I16" s="81"/>
      <c r="J16" s="82"/>
      <c r="K16" s="82"/>
      <c r="L16" s="82"/>
      <c r="M16" s="82"/>
      <c r="N16" s="82"/>
      <c r="O16" s="83"/>
      <c r="P16" s="83"/>
      <c r="Q16" s="83"/>
      <c r="R16" s="83"/>
      <c r="S16" s="83"/>
      <c r="T16" s="84"/>
      <c r="U16" s="70">
        <f t="shared" si="2"/>
        <v>0</v>
      </c>
      <c r="V16" s="70">
        <f t="shared" si="3"/>
        <v>0</v>
      </c>
    </row>
    <row r="17" spans="1:22" ht="13.5" thickBot="1" x14ac:dyDescent="0.3">
      <c r="A17" s="135" t="s">
        <v>26</v>
      </c>
      <c r="B17" s="136"/>
      <c r="C17" s="85">
        <f>SUM(C8:C16)</f>
        <v>112503000</v>
      </c>
      <c r="D17" s="170">
        <f>SUM(D8:E16)</f>
        <v>51561812</v>
      </c>
      <c r="E17" s="171"/>
      <c r="F17" s="170">
        <f>SUM(F8:G16)</f>
        <v>0</v>
      </c>
      <c r="G17" s="171"/>
      <c r="H17" s="85">
        <f t="shared" ref="H17:V17" si="5">SUM(H8:H16)</f>
        <v>164064812</v>
      </c>
      <c r="I17" s="86">
        <f t="shared" si="5"/>
        <v>51969912</v>
      </c>
      <c r="J17" s="87">
        <f t="shared" si="5"/>
        <v>62684815</v>
      </c>
      <c r="K17" s="87">
        <f t="shared" si="5"/>
        <v>145206</v>
      </c>
      <c r="L17" s="87">
        <f t="shared" si="5"/>
        <v>47859</v>
      </c>
      <c r="M17" s="87">
        <f t="shared" si="5"/>
        <v>1067872</v>
      </c>
      <c r="N17" s="119">
        <f t="shared" si="5"/>
        <v>3329641</v>
      </c>
      <c r="O17" s="87">
        <f t="shared" si="5"/>
        <v>43915311.166666664</v>
      </c>
      <c r="P17" s="87">
        <f t="shared" si="5"/>
        <v>390839.16666666669</v>
      </c>
      <c r="Q17" s="87">
        <f t="shared" si="5"/>
        <v>390839.16666666669</v>
      </c>
      <c r="R17" s="87">
        <f t="shared" si="5"/>
        <v>390839.16666666669</v>
      </c>
      <c r="S17" s="87">
        <f t="shared" si="5"/>
        <v>390839.16666666669</v>
      </c>
      <c r="T17" s="88">
        <f t="shared" si="5"/>
        <v>390839.16666666669</v>
      </c>
      <c r="U17" s="85">
        <f t="shared" si="5"/>
        <v>165114812</v>
      </c>
      <c r="V17" s="85">
        <f t="shared" si="5"/>
        <v>-1050000</v>
      </c>
    </row>
    <row r="19" spans="1:22" ht="13.5" thickBot="1" x14ac:dyDescent="0.3">
      <c r="A19" s="124" t="s">
        <v>23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</row>
    <row r="20" spans="1:22" x14ac:dyDescent="0.25">
      <c r="A20" s="133" t="s">
        <v>2</v>
      </c>
      <c r="B20" s="127" t="s">
        <v>3</v>
      </c>
      <c r="C20" s="154" t="s">
        <v>4</v>
      </c>
      <c r="D20" s="162" t="s">
        <v>5</v>
      </c>
      <c r="E20" s="163"/>
      <c r="F20" s="163"/>
      <c r="G20" s="164"/>
      <c r="H20" s="154" t="s">
        <v>8</v>
      </c>
      <c r="I20" s="165" t="s">
        <v>9</v>
      </c>
      <c r="J20" s="156" t="s">
        <v>10</v>
      </c>
      <c r="K20" s="156" t="s">
        <v>11</v>
      </c>
      <c r="L20" s="156" t="s">
        <v>12</v>
      </c>
      <c r="M20" s="156" t="s">
        <v>13</v>
      </c>
      <c r="N20" s="156" t="s">
        <v>14</v>
      </c>
      <c r="O20" s="156" t="s">
        <v>15</v>
      </c>
      <c r="P20" s="156" t="s">
        <v>16</v>
      </c>
      <c r="Q20" s="156" t="s">
        <v>17</v>
      </c>
      <c r="R20" s="156" t="s">
        <v>18</v>
      </c>
      <c r="S20" s="156" t="s">
        <v>19</v>
      </c>
      <c r="T20" s="158" t="s">
        <v>20</v>
      </c>
      <c r="U20" s="183" t="s">
        <v>21</v>
      </c>
      <c r="V20" s="154" t="s">
        <v>22</v>
      </c>
    </row>
    <row r="21" spans="1:22" ht="25.5" customHeight="1" thickBot="1" x14ac:dyDescent="0.3">
      <c r="A21" s="149"/>
      <c r="B21" s="128"/>
      <c r="C21" s="155"/>
      <c r="D21" s="89" t="s">
        <v>6</v>
      </c>
      <c r="E21" s="90" t="s">
        <v>7</v>
      </c>
      <c r="F21" s="90" t="s">
        <v>24</v>
      </c>
      <c r="G21" s="91" t="s">
        <v>25</v>
      </c>
      <c r="H21" s="155"/>
      <c r="I21" s="166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9"/>
      <c r="U21" s="184"/>
      <c r="V21" s="155"/>
    </row>
    <row r="22" spans="1:22" ht="51" x14ac:dyDescent="0.25">
      <c r="A22" s="2" t="s">
        <v>75</v>
      </c>
      <c r="B22" s="3" t="s">
        <v>76</v>
      </c>
      <c r="C22" s="64">
        <v>0</v>
      </c>
      <c r="D22" s="92">
        <v>19939560</v>
      </c>
      <c r="E22" s="93"/>
      <c r="F22" s="93"/>
      <c r="G22" s="94"/>
      <c r="H22" s="65">
        <f>C22+D22-E22+F22-G22</f>
        <v>19939560</v>
      </c>
      <c r="I22" s="66"/>
      <c r="J22" s="67"/>
      <c r="K22" s="67"/>
      <c r="L22" s="67"/>
      <c r="M22" s="63">
        <v>18914500</v>
      </c>
      <c r="N22" s="67"/>
      <c r="O22" s="68">
        <f>1025060/5</f>
        <v>205012</v>
      </c>
      <c r="P22" s="68">
        <f t="shared" ref="P22:S22" si="6">1025060/5</f>
        <v>205012</v>
      </c>
      <c r="Q22" s="68">
        <f t="shared" si="6"/>
        <v>205012</v>
      </c>
      <c r="R22" s="68">
        <f t="shared" si="6"/>
        <v>205012</v>
      </c>
      <c r="S22" s="68">
        <f t="shared" si="6"/>
        <v>205012</v>
      </c>
      <c r="T22" s="69"/>
      <c r="U22" s="112">
        <f>SUM(I22:T22)</f>
        <v>19939560</v>
      </c>
      <c r="V22" s="64">
        <f>H22-U22</f>
        <v>0</v>
      </c>
    </row>
    <row r="23" spans="1:22" ht="51" x14ac:dyDescent="0.25">
      <c r="A23" s="2" t="s">
        <v>45</v>
      </c>
      <c r="B23" s="3" t="s">
        <v>46</v>
      </c>
      <c r="C23" s="64">
        <v>18500000</v>
      </c>
      <c r="D23" s="92"/>
      <c r="E23" s="93"/>
      <c r="F23" s="93"/>
      <c r="G23" s="94"/>
      <c r="H23" s="65">
        <f t="shared" ref="H23:H40" si="7">C23+D23-E23+F23-G23</f>
        <v>18500000</v>
      </c>
      <c r="I23" s="96"/>
      <c r="J23" s="97"/>
      <c r="K23" s="97"/>
      <c r="L23" s="97"/>
      <c r="M23" s="97"/>
      <c r="N23" s="97"/>
      <c r="O23" s="93">
        <f>18500000/5</f>
        <v>3700000</v>
      </c>
      <c r="P23" s="93">
        <f t="shared" ref="P23:S23" si="8">18500000/5</f>
        <v>3700000</v>
      </c>
      <c r="Q23" s="93">
        <f t="shared" si="8"/>
        <v>3700000</v>
      </c>
      <c r="R23" s="93">
        <f t="shared" si="8"/>
        <v>3700000</v>
      </c>
      <c r="S23" s="93">
        <f t="shared" si="8"/>
        <v>3700000</v>
      </c>
      <c r="T23" s="98"/>
      <c r="U23" s="113">
        <f t="shared" ref="U23:U40" si="9">SUM(I23:T23)</f>
        <v>18500000</v>
      </c>
      <c r="V23" s="64">
        <f t="shared" ref="V23:V40" si="10">H23-U23</f>
        <v>0</v>
      </c>
    </row>
    <row r="24" spans="1:22" ht="51" x14ac:dyDescent="0.25">
      <c r="A24" s="2" t="s">
        <v>77</v>
      </c>
      <c r="B24" s="3" t="s">
        <v>78</v>
      </c>
      <c r="C24" s="64">
        <v>0</v>
      </c>
      <c r="D24" s="92">
        <v>16000000</v>
      </c>
      <c r="E24" s="93"/>
      <c r="F24" s="93"/>
      <c r="G24" s="94"/>
      <c r="H24" s="65">
        <f t="shared" si="7"/>
        <v>16000000</v>
      </c>
      <c r="I24" s="96"/>
      <c r="J24" s="97"/>
      <c r="K24" s="97"/>
      <c r="L24" s="97"/>
      <c r="M24" s="97"/>
      <c r="N24" s="63">
        <v>13781100</v>
      </c>
      <c r="O24" s="93">
        <f>2218900/5</f>
        <v>443780</v>
      </c>
      <c r="P24" s="93">
        <f t="shared" ref="P24:S24" si="11">2218900/5</f>
        <v>443780</v>
      </c>
      <c r="Q24" s="93">
        <f t="shared" si="11"/>
        <v>443780</v>
      </c>
      <c r="R24" s="93">
        <f t="shared" si="11"/>
        <v>443780</v>
      </c>
      <c r="S24" s="93">
        <f t="shared" si="11"/>
        <v>443780</v>
      </c>
      <c r="T24" s="93"/>
      <c r="U24" s="113">
        <f t="shared" si="9"/>
        <v>16000000</v>
      </c>
      <c r="V24" s="64">
        <f t="shared" si="10"/>
        <v>0</v>
      </c>
    </row>
    <row r="25" spans="1:22" ht="38.25" x14ac:dyDescent="0.25">
      <c r="A25" s="2" t="s">
        <v>47</v>
      </c>
      <c r="B25" s="3" t="s">
        <v>48</v>
      </c>
      <c r="C25" s="64">
        <v>14000000</v>
      </c>
      <c r="D25" s="92"/>
      <c r="E25" s="93"/>
      <c r="F25" s="93"/>
      <c r="G25" s="94"/>
      <c r="H25" s="65">
        <f t="shared" si="7"/>
        <v>14000000</v>
      </c>
      <c r="I25" s="72"/>
      <c r="J25" s="73"/>
      <c r="K25" s="73"/>
      <c r="L25" s="73"/>
      <c r="M25" s="73"/>
      <c r="N25" s="63">
        <v>13008569.92</v>
      </c>
      <c r="O25" s="74">
        <f>991430/5</f>
        <v>198286</v>
      </c>
      <c r="P25" s="74">
        <f t="shared" ref="P25:S25" si="12">991430/5</f>
        <v>198286</v>
      </c>
      <c r="Q25" s="74">
        <f t="shared" si="12"/>
        <v>198286</v>
      </c>
      <c r="R25" s="74">
        <f t="shared" si="12"/>
        <v>198286</v>
      </c>
      <c r="S25" s="74">
        <f t="shared" si="12"/>
        <v>198286</v>
      </c>
      <c r="T25" s="75"/>
      <c r="U25" s="113">
        <f t="shared" si="9"/>
        <v>13999999.92</v>
      </c>
      <c r="V25" s="64">
        <f t="shared" si="10"/>
        <v>8.0000000074505806E-2</v>
      </c>
    </row>
    <row r="26" spans="1:22" ht="51" x14ac:dyDescent="0.25">
      <c r="A26" s="2" t="s">
        <v>49</v>
      </c>
      <c r="B26" s="3" t="s">
        <v>50</v>
      </c>
      <c r="C26" s="64">
        <v>1000</v>
      </c>
      <c r="D26" s="92"/>
      <c r="E26" s="93"/>
      <c r="F26" s="93"/>
      <c r="G26" s="94"/>
      <c r="H26" s="65">
        <f t="shared" si="7"/>
        <v>1000</v>
      </c>
      <c r="I26" s="72"/>
      <c r="J26" s="73"/>
      <c r="K26" s="73"/>
      <c r="L26" s="73"/>
      <c r="M26" s="73"/>
      <c r="N26" s="73"/>
      <c r="O26" s="74">
        <f>1000/5</f>
        <v>200</v>
      </c>
      <c r="P26" s="74">
        <f t="shared" ref="P26:S26" si="13">1000/5</f>
        <v>200</v>
      </c>
      <c r="Q26" s="74">
        <f t="shared" si="13"/>
        <v>200</v>
      </c>
      <c r="R26" s="74">
        <f t="shared" si="13"/>
        <v>200</v>
      </c>
      <c r="S26" s="74">
        <f t="shared" si="13"/>
        <v>200</v>
      </c>
      <c r="T26" s="75"/>
      <c r="U26" s="113">
        <f t="shared" si="9"/>
        <v>1000</v>
      </c>
      <c r="V26" s="64">
        <f t="shared" si="10"/>
        <v>0</v>
      </c>
    </row>
    <row r="27" spans="1:22" ht="38.25" x14ac:dyDescent="0.25">
      <c r="A27" s="2" t="s">
        <v>51</v>
      </c>
      <c r="B27" s="3" t="s">
        <v>52</v>
      </c>
      <c r="C27" s="64">
        <v>20000000</v>
      </c>
      <c r="D27" s="92"/>
      <c r="E27" s="93"/>
      <c r="F27" s="93"/>
      <c r="G27" s="94"/>
      <c r="H27" s="65">
        <f t="shared" si="7"/>
        <v>20000000</v>
      </c>
      <c r="I27" s="72"/>
      <c r="J27" s="73"/>
      <c r="K27" s="73"/>
      <c r="L27" s="73"/>
      <c r="M27" s="73"/>
      <c r="N27" s="73"/>
      <c r="O27" s="74">
        <f>20000000/5</f>
        <v>4000000</v>
      </c>
      <c r="P27" s="74">
        <f t="shared" ref="P27:S27" si="14">20000000/5</f>
        <v>4000000</v>
      </c>
      <c r="Q27" s="74">
        <f t="shared" si="14"/>
        <v>4000000</v>
      </c>
      <c r="R27" s="74">
        <f t="shared" si="14"/>
        <v>4000000</v>
      </c>
      <c r="S27" s="74">
        <f t="shared" si="14"/>
        <v>4000000</v>
      </c>
      <c r="T27" s="75"/>
      <c r="U27" s="113">
        <f t="shared" si="9"/>
        <v>20000000</v>
      </c>
      <c r="V27" s="64">
        <f t="shared" si="10"/>
        <v>0</v>
      </c>
    </row>
    <row r="28" spans="1:22" ht="38.25" x14ac:dyDescent="0.25">
      <c r="A28" s="2" t="s">
        <v>53</v>
      </c>
      <c r="B28" s="3" t="s">
        <v>54</v>
      </c>
      <c r="C28" s="64">
        <v>2300000</v>
      </c>
      <c r="D28" s="92"/>
      <c r="E28" s="93"/>
      <c r="F28" s="93"/>
      <c r="G28" s="94"/>
      <c r="H28" s="65">
        <f t="shared" si="7"/>
        <v>2300000</v>
      </c>
      <c r="I28" s="72"/>
      <c r="J28" s="73"/>
      <c r="K28" s="73"/>
      <c r="L28" s="73"/>
      <c r="M28" s="73"/>
      <c r="N28" s="73"/>
      <c r="O28" s="74">
        <f>2300000/5</f>
        <v>460000</v>
      </c>
      <c r="P28" s="74">
        <f t="shared" ref="P28:S28" si="15">2300000/5</f>
        <v>460000</v>
      </c>
      <c r="Q28" s="74">
        <f t="shared" si="15"/>
        <v>460000</v>
      </c>
      <c r="R28" s="74">
        <f t="shared" si="15"/>
        <v>460000</v>
      </c>
      <c r="S28" s="74">
        <f t="shared" si="15"/>
        <v>460000</v>
      </c>
      <c r="T28" s="75"/>
      <c r="U28" s="113">
        <f t="shared" si="9"/>
        <v>2300000</v>
      </c>
      <c r="V28" s="64">
        <f t="shared" si="10"/>
        <v>0</v>
      </c>
    </row>
    <row r="29" spans="1:22" ht="38.25" x14ac:dyDescent="0.25">
      <c r="A29" s="2" t="s">
        <v>55</v>
      </c>
      <c r="B29" s="3" t="s">
        <v>56</v>
      </c>
      <c r="C29" s="64">
        <v>200000</v>
      </c>
      <c r="D29" s="92"/>
      <c r="E29" s="93"/>
      <c r="F29" s="93"/>
      <c r="G29" s="94"/>
      <c r="H29" s="65">
        <f t="shared" si="7"/>
        <v>200000</v>
      </c>
      <c r="I29" s="72"/>
      <c r="J29" s="73"/>
      <c r="K29" s="73"/>
      <c r="L29" s="73"/>
      <c r="M29" s="73"/>
      <c r="N29" s="73"/>
      <c r="O29" s="74">
        <f>200000/5</f>
        <v>40000</v>
      </c>
      <c r="P29" s="74">
        <f t="shared" ref="P29:S29" si="16">200000/5</f>
        <v>40000</v>
      </c>
      <c r="Q29" s="74">
        <f t="shared" si="16"/>
        <v>40000</v>
      </c>
      <c r="R29" s="74">
        <f t="shared" si="16"/>
        <v>40000</v>
      </c>
      <c r="S29" s="74">
        <f t="shared" si="16"/>
        <v>40000</v>
      </c>
      <c r="T29" s="75"/>
      <c r="U29" s="113">
        <f t="shared" si="9"/>
        <v>200000</v>
      </c>
      <c r="V29" s="64">
        <f t="shared" si="10"/>
        <v>0</v>
      </c>
    </row>
    <row r="30" spans="1:22" ht="38.25" x14ac:dyDescent="0.25">
      <c r="A30" s="2" t="s">
        <v>57</v>
      </c>
      <c r="B30" s="3" t="s">
        <v>58</v>
      </c>
      <c r="C30" s="64">
        <v>1500000</v>
      </c>
      <c r="D30" s="92"/>
      <c r="E30" s="93"/>
      <c r="F30" s="93"/>
      <c r="G30" s="94"/>
      <c r="H30" s="65">
        <f t="shared" si="7"/>
        <v>1500000</v>
      </c>
      <c r="I30" s="72">
        <v>146251</v>
      </c>
      <c r="J30" s="73">
        <v>114597</v>
      </c>
      <c r="K30" s="73">
        <v>100257</v>
      </c>
      <c r="L30" s="73"/>
      <c r="M30" s="63">
        <v>82943</v>
      </c>
      <c r="N30" s="63">
        <v>82943</v>
      </c>
      <c r="O30" s="74">
        <f>973009/6</f>
        <v>162168.16666666666</v>
      </c>
      <c r="P30" s="74">
        <f t="shared" ref="P30:T30" si="17">973009/6</f>
        <v>162168.16666666666</v>
      </c>
      <c r="Q30" s="74">
        <f t="shared" si="17"/>
        <v>162168.16666666666</v>
      </c>
      <c r="R30" s="74">
        <f t="shared" si="17"/>
        <v>162168.16666666666</v>
      </c>
      <c r="S30" s="74">
        <f t="shared" si="17"/>
        <v>162168.16666666666</v>
      </c>
      <c r="T30" s="74">
        <f t="shared" si="17"/>
        <v>162168.16666666666</v>
      </c>
      <c r="U30" s="113">
        <f t="shared" si="9"/>
        <v>1500000</v>
      </c>
      <c r="V30" s="64">
        <f t="shared" si="10"/>
        <v>0</v>
      </c>
    </row>
    <row r="31" spans="1:22" ht="51" x14ac:dyDescent="0.25">
      <c r="A31" s="2" t="s">
        <v>79</v>
      </c>
      <c r="B31" s="3" t="s">
        <v>80</v>
      </c>
      <c r="C31" s="64">
        <v>0</v>
      </c>
      <c r="D31" s="92">
        <v>1075935</v>
      </c>
      <c r="E31" s="93"/>
      <c r="F31" s="93"/>
      <c r="G31" s="94"/>
      <c r="H31" s="65">
        <f t="shared" si="7"/>
        <v>1075935</v>
      </c>
      <c r="I31" s="72"/>
      <c r="J31" s="73"/>
      <c r="K31" s="73"/>
      <c r="L31" s="63">
        <v>82943</v>
      </c>
      <c r="M31" s="73"/>
      <c r="N31" s="73"/>
      <c r="O31" s="74">
        <f>992992/6</f>
        <v>165498.66666666666</v>
      </c>
      <c r="P31" s="74">
        <f t="shared" ref="P31:T31" si="18">992992/6</f>
        <v>165498.66666666666</v>
      </c>
      <c r="Q31" s="74">
        <f t="shared" si="18"/>
        <v>165498.66666666666</v>
      </c>
      <c r="R31" s="74">
        <f t="shared" si="18"/>
        <v>165498.66666666666</v>
      </c>
      <c r="S31" s="74">
        <f t="shared" si="18"/>
        <v>165498.66666666666</v>
      </c>
      <c r="T31" s="74">
        <f t="shared" si="18"/>
        <v>165498.66666666666</v>
      </c>
      <c r="U31" s="113">
        <f t="shared" si="9"/>
        <v>1075935</v>
      </c>
      <c r="V31" s="64">
        <f t="shared" si="10"/>
        <v>0</v>
      </c>
    </row>
    <row r="32" spans="1:22" ht="38.25" x14ac:dyDescent="0.25">
      <c r="A32" s="2" t="s">
        <v>59</v>
      </c>
      <c r="B32" s="3" t="s">
        <v>60</v>
      </c>
      <c r="C32" s="64">
        <v>5000000</v>
      </c>
      <c r="D32" s="92"/>
      <c r="E32" s="93"/>
      <c r="F32" s="93"/>
      <c r="G32" s="94"/>
      <c r="H32" s="65">
        <f t="shared" si="7"/>
        <v>5000000</v>
      </c>
      <c r="I32" s="72"/>
      <c r="J32" s="73"/>
      <c r="K32" s="73"/>
      <c r="L32" s="73"/>
      <c r="M32" s="73"/>
      <c r="N32" s="73"/>
      <c r="O32" s="74">
        <f>5000000/5</f>
        <v>1000000</v>
      </c>
      <c r="P32" s="74">
        <f t="shared" ref="P32:S32" si="19">5000000/5</f>
        <v>1000000</v>
      </c>
      <c r="Q32" s="74">
        <f t="shared" si="19"/>
        <v>1000000</v>
      </c>
      <c r="R32" s="74">
        <f t="shared" si="19"/>
        <v>1000000</v>
      </c>
      <c r="S32" s="74">
        <f t="shared" si="19"/>
        <v>1000000</v>
      </c>
      <c r="T32" s="75"/>
      <c r="U32" s="113">
        <f t="shared" si="9"/>
        <v>5000000</v>
      </c>
      <c r="V32" s="64">
        <f t="shared" si="10"/>
        <v>0</v>
      </c>
    </row>
    <row r="33" spans="1:22" ht="38.25" x14ac:dyDescent="0.25">
      <c r="A33" s="2" t="s">
        <v>61</v>
      </c>
      <c r="B33" s="3" t="s">
        <v>62</v>
      </c>
      <c r="C33" s="64">
        <v>24000000</v>
      </c>
      <c r="D33" s="92"/>
      <c r="E33" s="93"/>
      <c r="F33" s="93"/>
      <c r="G33" s="94"/>
      <c r="H33" s="65">
        <f t="shared" si="7"/>
        <v>24000000</v>
      </c>
      <c r="I33" s="72"/>
      <c r="J33" s="73"/>
      <c r="K33" s="73"/>
      <c r="L33" s="73"/>
      <c r="M33" s="73"/>
      <c r="N33" s="73"/>
      <c r="O33" s="74">
        <f>24000000/5</f>
        <v>4800000</v>
      </c>
      <c r="P33" s="74">
        <f t="shared" ref="P33:S33" si="20">24000000/5</f>
        <v>4800000</v>
      </c>
      <c r="Q33" s="74">
        <f t="shared" si="20"/>
        <v>4800000</v>
      </c>
      <c r="R33" s="74">
        <f t="shared" si="20"/>
        <v>4800000</v>
      </c>
      <c r="S33" s="74">
        <f t="shared" si="20"/>
        <v>4800000</v>
      </c>
      <c r="T33" s="75"/>
      <c r="U33" s="113">
        <f t="shared" si="9"/>
        <v>24000000</v>
      </c>
      <c r="V33" s="64">
        <f t="shared" si="10"/>
        <v>0</v>
      </c>
    </row>
    <row r="34" spans="1:22" ht="51" x14ac:dyDescent="0.25">
      <c r="A34" s="2" t="s">
        <v>81</v>
      </c>
      <c r="B34" s="3" t="s">
        <v>82</v>
      </c>
      <c r="C34" s="64">
        <v>0</v>
      </c>
      <c r="D34" s="92">
        <v>8000000</v>
      </c>
      <c r="E34" s="93"/>
      <c r="F34" s="93"/>
      <c r="G34" s="94"/>
      <c r="H34" s="65">
        <f t="shared" si="7"/>
        <v>8000000</v>
      </c>
      <c r="I34" s="72"/>
      <c r="J34" s="73"/>
      <c r="K34" s="73">
        <v>2000000</v>
      </c>
      <c r="L34" s="63">
        <v>2000000</v>
      </c>
      <c r="M34" s="63">
        <v>2000000</v>
      </c>
      <c r="N34" s="63">
        <v>2000000</v>
      </c>
      <c r="O34" s="74"/>
      <c r="P34" s="74"/>
      <c r="Q34" s="74"/>
      <c r="R34" s="74"/>
      <c r="S34" s="74"/>
      <c r="T34" s="75"/>
      <c r="U34" s="113">
        <f t="shared" si="9"/>
        <v>8000000</v>
      </c>
      <c r="V34" s="64">
        <f t="shared" si="10"/>
        <v>0</v>
      </c>
    </row>
    <row r="35" spans="1:22" ht="38.25" x14ac:dyDescent="0.25">
      <c r="A35" s="2" t="s">
        <v>63</v>
      </c>
      <c r="B35" s="3" t="s">
        <v>64</v>
      </c>
      <c r="C35" s="64">
        <v>7200000</v>
      </c>
      <c r="D35" s="92"/>
      <c r="E35" s="93"/>
      <c r="F35" s="93"/>
      <c r="G35" s="94"/>
      <c r="H35" s="65">
        <f t="shared" si="7"/>
        <v>7200000</v>
      </c>
      <c r="I35" s="72"/>
      <c r="J35" s="73"/>
      <c r="K35" s="73"/>
      <c r="L35" s="73"/>
      <c r="M35" s="73"/>
      <c r="N35" s="73"/>
      <c r="O35" s="74">
        <f>7200000/5</f>
        <v>1440000</v>
      </c>
      <c r="P35" s="74">
        <f t="shared" ref="P35:S35" si="21">7200000/5</f>
        <v>1440000</v>
      </c>
      <c r="Q35" s="74">
        <f t="shared" si="21"/>
        <v>1440000</v>
      </c>
      <c r="R35" s="74">
        <f t="shared" si="21"/>
        <v>1440000</v>
      </c>
      <c r="S35" s="74">
        <f t="shared" si="21"/>
        <v>1440000</v>
      </c>
      <c r="T35" s="75"/>
      <c r="U35" s="113">
        <f t="shared" si="9"/>
        <v>7200000</v>
      </c>
      <c r="V35" s="64">
        <f t="shared" si="10"/>
        <v>0</v>
      </c>
    </row>
    <row r="36" spans="1:22" ht="38.25" x14ac:dyDescent="0.25">
      <c r="A36" s="2" t="s">
        <v>65</v>
      </c>
      <c r="B36" s="3" t="s">
        <v>66</v>
      </c>
      <c r="C36" s="64">
        <v>8500000</v>
      </c>
      <c r="D36" s="92"/>
      <c r="E36" s="93"/>
      <c r="F36" s="93"/>
      <c r="G36" s="94"/>
      <c r="H36" s="65">
        <f t="shared" si="7"/>
        <v>8500000</v>
      </c>
      <c r="I36" s="72"/>
      <c r="J36" s="73"/>
      <c r="K36" s="73"/>
      <c r="L36" s="73"/>
      <c r="M36" s="73"/>
      <c r="N36" s="73"/>
      <c r="O36" s="74">
        <f>8500000/5</f>
        <v>1700000</v>
      </c>
      <c r="P36" s="74">
        <f t="shared" ref="P36:S36" si="22">8500000/5</f>
        <v>1700000</v>
      </c>
      <c r="Q36" s="74">
        <f t="shared" si="22"/>
        <v>1700000</v>
      </c>
      <c r="R36" s="74">
        <f t="shared" si="22"/>
        <v>1700000</v>
      </c>
      <c r="S36" s="74">
        <f t="shared" si="22"/>
        <v>1700000</v>
      </c>
      <c r="T36" s="75"/>
      <c r="U36" s="113">
        <f t="shared" si="9"/>
        <v>8500000</v>
      </c>
      <c r="V36" s="64">
        <f t="shared" si="10"/>
        <v>0</v>
      </c>
    </row>
    <row r="37" spans="1:22" ht="38.25" x14ac:dyDescent="0.25">
      <c r="A37" s="2" t="s">
        <v>67</v>
      </c>
      <c r="B37" s="3" t="s">
        <v>68</v>
      </c>
      <c r="C37" s="64">
        <v>4800000</v>
      </c>
      <c r="D37" s="92"/>
      <c r="E37" s="93"/>
      <c r="F37" s="93"/>
      <c r="G37" s="94"/>
      <c r="H37" s="65">
        <f t="shared" si="7"/>
        <v>4800000</v>
      </c>
      <c r="I37" s="72"/>
      <c r="J37" s="73"/>
      <c r="K37" s="73"/>
      <c r="L37" s="73"/>
      <c r="M37" s="73"/>
      <c r="N37" s="73"/>
      <c r="O37" s="74">
        <f>4800000/5</f>
        <v>960000</v>
      </c>
      <c r="P37" s="74">
        <f t="shared" ref="P37:S37" si="23">4800000/5</f>
        <v>960000</v>
      </c>
      <c r="Q37" s="74">
        <f t="shared" si="23"/>
        <v>960000</v>
      </c>
      <c r="R37" s="74">
        <f t="shared" si="23"/>
        <v>960000</v>
      </c>
      <c r="S37" s="74">
        <f t="shared" si="23"/>
        <v>960000</v>
      </c>
      <c r="T37" s="75"/>
      <c r="U37" s="113">
        <f t="shared" si="9"/>
        <v>4800000</v>
      </c>
      <c r="V37" s="64">
        <f t="shared" si="10"/>
        <v>0</v>
      </c>
    </row>
    <row r="38" spans="1:22" ht="38.25" x14ac:dyDescent="0.25">
      <c r="A38" s="2" t="s">
        <v>69</v>
      </c>
      <c r="B38" s="3" t="s">
        <v>70</v>
      </c>
      <c r="C38" s="64">
        <v>6500000</v>
      </c>
      <c r="D38" s="92"/>
      <c r="E38" s="93"/>
      <c r="F38" s="93"/>
      <c r="G38" s="94"/>
      <c r="H38" s="65">
        <f t="shared" si="7"/>
        <v>6500000</v>
      </c>
      <c r="I38" s="72"/>
      <c r="J38" s="73"/>
      <c r="K38" s="73"/>
      <c r="L38" s="63">
        <v>688921</v>
      </c>
      <c r="M38" s="63">
        <v>742641</v>
      </c>
      <c r="N38" s="73"/>
      <c r="O38" s="74">
        <f>5068438/5</f>
        <v>1013687.6</v>
      </c>
      <c r="P38" s="74">
        <f t="shared" ref="P38:S38" si="24">5068438/5</f>
        <v>1013687.6</v>
      </c>
      <c r="Q38" s="74">
        <f t="shared" si="24"/>
        <v>1013687.6</v>
      </c>
      <c r="R38" s="74">
        <f t="shared" si="24"/>
        <v>1013687.6</v>
      </c>
      <c r="S38" s="74">
        <f t="shared" si="24"/>
        <v>1013687.6</v>
      </c>
      <c r="T38" s="74"/>
      <c r="U38" s="113">
        <f t="shared" si="9"/>
        <v>6499999.9999999991</v>
      </c>
      <c r="V38" s="64">
        <f t="shared" si="10"/>
        <v>0</v>
      </c>
    </row>
    <row r="39" spans="1:22" ht="51" x14ac:dyDescent="0.25">
      <c r="A39" s="2" t="s">
        <v>71</v>
      </c>
      <c r="B39" s="3" t="s">
        <v>72</v>
      </c>
      <c r="C39" s="64">
        <v>1000</v>
      </c>
      <c r="D39" s="92">
        <v>6546317</v>
      </c>
      <c r="E39" s="93"/>
      <c r="F39" s="93"/>
      <c r="G39" s="94"/>
      <c r="H39" s="65">
        <f t="shared" si="7"/>
        <v>6547317</v>
      </c>
      <c r="I39" s="72">
        <v>46945</v>
      </c>
      <c r="J39" s="73">
        <v>1308030</v>
      </c>
      <c r="K39" s="73">
        <v>765517</v>
      </c>
      <c r="L39" s="73"/>
      <c r="M39" s="73"/>
      <c r="N39" s="73"/>
      <c r="O39" s="74">
        <f>4426825/6</f>
        <v>737804.16666666663</v>
      </c>
      <c r="P39" s="74">
        <f t="shared" ref="P39:T39" si="25">4426825/6</f>
        <v>737804.16666666663</v>
      </c>
      <c r="Q39" s="74">
        <f t="shared" si="25"/>
        <v>737804.16666666663</v>
      </c>
      <c r="R39" s="74">
        <f t="shared" si="25"/>
        <v>737804.16666666663</v>
      </c>
      <c r="S39" s="74">
        <f t="shared" si="25"/>
        <v>737804.16666666663</v>
      </c>
      <c r="T39" s="74">
        <f t="shared" si="25"/>
        <v>737804.16666666663</v>
      </c>
      <c r="U39" s="113">
        <f t="shared" si="9"/>
        <v>6547317.0000000009</v>
      </c>
      <c r="V39" s="64">
        <f t="shared" si="10"/>
        <v>0</v>
      </c>
    </row>
    <row r="40" spans="1:22" ht="38.25" x14ac:dyDescent="0.25">
      <c r="A40" s="2" t="s">
        <v>73</v>
      </c>
      <c r="B40" s="3" t="s">
        <v>74</v>
      </c>
      <c r="C40" s="64">
        <v>1000</v>
      </c>
      <c r="D40" s="92"/>
      <c r="E40" s="93"/>
      <c r="F40" s="93"/>
      <c r="G40" s="94"/>
      <c r="H40" s="65">
        <f t="shared" si="7"/>
        <v>1000</v>
      </c>
      <c r="I40" s="72"/>
      <c r="J40" s="73"/>
      <c r="K40" s="73"/>
      <c r="L40" s="73"/>
      <c r="M40" s="73"/>
      <c r="N40" s="73"/>
      <c r="O40" s="74">
        <f>1000/6</f>
        <v>166.66666666666666</v>
      </c>
      <c r="P40" s="74">
        <f t="shared" ref="P40:T40" si="26">1000/6</f>
        <v>166.66666666666666</v>
      </c>
      <c r="Q40" s="74">
        <f t="shared" si="26"/>
        <v>166.66666666666666</v>
      </c>
      <c r="R40" s="74">
        <f t="shared" si="26"/>
        <v>166.66666666666666</v>
      </c>
      <c r="S40" s="74">
        <f t="shared" si="26"/>
        <v>166.66666666666666</v>
      </c>
      <c r="T40" s="74">
        <f t="shared" si="26"/>
        <v>166.66666666666666</v>
      </c>
      <c r="U40" s="113">
        <f t="shared" si="9"/>
        <v>999.99999999999989</v>
      </c>
      <c r="V40" s="64">
        <f t="shared" si="10"/>
        <v>0</v>
      </c>
    </row>
    <row r="41" spans="1:22" ht="13.5" thickBot="1" x14ac:dyDescent="0.3">
      <c r="A41" s="6"/>
      <c r="B41" s="7"/>
      <c r="C41" s="76"/>
      <c r="D41" s="100"/>
      <c r="E41" s="79"/>
      <c r="F41" s="79"/>
      <c r="G41" s="101"/>
      <c r="H41" s="102"/>
      <c r="I41" s="81"/>
      <c r="J41" s="82"/>
      <c r="K41" s="82"/>
      <c r="L41" s="82"/>
      <c r="M41" s="82"/>
      <c r="N41" s="82"/>
      <c r="O41" s="83"/>
      <c r="P41" s="83"/>
      <c r="Q41" s="83"/>
      <c r="R41" s="83"/>
      <c r="S41" s="83"/>
      <c r="T41" s="84"/>
      <c r="U41" s="114"/>
      <c r="V41" s="76"/>
    </row>
    <row r="42" spans="1:22" ht="13.5" thickBot="1" x14ac:dyDescent="0.3">
      <c r="A42" s="135" t="s">
        <v>26</v>
      </c>
      <c r="B42" s="136"/>
      <c r="C42" s="85">
        <f t="shared" ref="C42:V42" si="27">SUM(C22:C41)</f>
        <v>112503000</v>
      </c>
      <c r="D42" s="104">
        <f t="shared" si="27"/>
        <v>51561812</v>
      </c>
      <c r="E42" s="105">
        <f t="shared" si="27"/>
        <v>0</v>
      </c>
      <c r="F42" s="105">
        <f t="shared" si="27"/>
        <v>0</v>
      </c>
      <c r="G42" s="106">
        <f t="shared" si="27"/>
        <v>0</v>
      </c>
      <c r="H42" s="85">
        <f t="shared" si="27"/>
        <v>164064812</v>
      </c>
      <c r="I42" s="86">
        <f t="shared" si="27"/>
        <v>193196</v>
      </c>
      <c r="J42" s="87">
        <f t="shared" si="27"/>
        <v>1422627</v>
      </c>
      <c r="K42" s="87">
        <f t="shared" si="27"/>
        <v>2865774</v>
      </c>
      <c r="L42" s="87">
        <f t="shared" si="27"/>
        <v>2771864</v>
      </c>
      <c r="M42" s="87">
        <f t="shared" si="27"/>
        <v>21740084</v>
      </c>
      <c r="N42" s="87">
        <f t="shared" si="27"/>
        <v>28872612.920000002</v>
      </c>
      <c r="O42" s="87">
        <f t="shared" si="27"/>
        <v>21026603.266666669</v>
      </c>
      <c r="P42" s="87">
        <f t="shared" si="27"/>
        <v>21026603.266666669</v>
      </c>
      <c r="Q42" s="87">
        <f t="shared" si="27"/>
        <v>21026603.266666669</v>
      </c>
      <c r="R42" s="87">
        <f t="shared" si="27"/>
        <v>21026603.266666669</v>
      </c>
      <c r="S42" s="87">
        <f t="shared" si="27"/>
        <v>21026603.266666669</v>
      </c>
      <c r="T42" s="107">
        <f t="shared" si="27"/>
        <v>1065637.6666666667</v>
      </c>
      <c r="U42" s="115">
        <f t="shared" si="27"/>
        <v>164064811.92000002</v>
      </c>
      <c r="V42" s="85">
        <f t="shared" si="27"/>
        <v>8.0000000074505806E-2</v>
      </c>
    </row>
  </sheetData>
  <mergeCells count="67">
    <mergeCell ref="A1:V1"/>
    <mergeCell ref="A2:V2"/>
    <mergeCell ref="A3:V3"/>
    <mergeCell ref="A5:V5"/>
    <mergeCell ref="A6:A7"/>
    <mergeCell ref="B6:B7"/>
    <mergeCell ref="C6:C7"/>
    <mergeCell ref="D6:G6"/>
    <mergeCell ref="H6:H7"/>
    <mergeCell ref="I6:I7"/>
    <mergeCell ref="V6:V7"/>
    <mergeCell ref="S6:S7"/>
    <mergeCell ref="T6:T7"/>
    <mergeCell ref="U6:U7"/>
    <mergeCell ref="D9:E9"/>
    <mergeCell ref="F9:G9"/>
    <mergeCell ref="P6:P7"/>
    <mergeCell ref="Q6:Q7"/>
    <mergeCell ref="R6:R7"/>
    <mergeCell ref="J6:J7"/>
    <mergeCell ref="K6:K7"/>
    <mergeCell ref="L6:L7"/>
    <mergeCell ref="M6:M7"/>
    <mergeCell ref="N6:N7"/>
    <mergeCell ref="O6:O7"/>
    <mergeCell ref="D7:E7"/>
    <mergeCell ref="F7:G7"/>
    <mergeCell ref="D8:E8"/>
    <mergeCell ref="F8:G8"/>
    <mergeCell ref="D10:E10"/>
    <mergeCell ref="F10:G10"/>
    <mergeCell ref="D11:E11"/>
    <mergeCell ref="F11:G11"/>
    <mergeCell ref="D12:E12"/>
    <mergeCell ref="F12:G12"/>
    <mergeCell ref="A17:B17"/>
    <mergeCell ref="D17:E17"/>
    <mergeCell ref="F17:G17"/>
    <mergeCell ref="A19:V19"/>
    <mergeCell ref="D13:E13"/>
    <mergeCell ref="F13:G13"/>
    <mergeCell ref="D14:E14"/>
    <mergeCell ref="F14:G14"/>
    <mergeCell ref="D15:E15"/>
    <mergeCell ref="F15:G15"/>
    <mergeCell ref="C20:C21"/>
    <mergeCell ref="D20:G20"/>
    <mergeCell ref="H20:H21"/>
    <mergeCell ref="I20:I21"/>
    <mergeCell ref="D16:E16"/>
    <mergeCell ref="F16:G16"/>
    <mergeCell ref="V20:V21"/>
    <mergeCell ref="A42:B42"/>
    <mergeCell ref="P20:P21"/>
    <mergeCell ref="Q20:Q21"/>
    <mergeCell ref="R20:R21"/>
    <mergeCell ref="S20:S21"/>
    <mergeCell ref="T20:T21"/>
    <mergeCell ref="U20:U21"/>
    <mergeCell ref="J20:J21"/>
    <mergeCell ref="K20:K21"/>
    <mergeCell ref="L20:L21"/>
    <mergeCell ref="M20:M21"/>
    <mergeCell ref="N20:N21"/>
    <mergeCell ref="O20:O21"/>
    <mergeCell ref="A20:A21"/>
    <mergeCell ref="B20:B21"/>
  </mergeCells>
  <printOptions horizontalCentered="1" verticalCentered="1"/>
  <pageMargins left="0.39370078740157483" right="0.39370078740157483" top="0.39370078740157483" bottom="0.59055118110236227" header="0.39370078740157483" footer="0.39370078740157483"/>
  <pageSetup paperSize="258" scale="73" orientation="landscape" r:id="rId1"/>
  <headerFooter>
    <oddFooter>&amp;L&amp;F&amp;C&amp;A&amp;R&amp;P de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topLeftCell="A31" workbookViewId="0">
      <selection activeCell="B12" sqref="B12"/>
    </sheetView>
  </sheetViews>
  <sheetFormatPr baseColWidth="10" defaultColWidth="11.42578125" defaultRowHeight="12.75" x14ac:dyDescent="0.25"/>
  <cols>
    <col min="1" max="1" width="7.7109375" style="1" customWidth="1"/>
    <col min="2" max="2" width="13.7109375" style="1" customWidth="1"/>
    <col min="3" max="3" width="11.7109375" style="109" customWidth="1"/>
    <col min="4" max="4" width="10.7109375" style="109" customWidth="1"/>
    <col min="5" max="7" width="3.7109375" style="109" customWidth="1"/>
    <col min="8" max="8" width="11.7109375" style="109" customWidth="1"/>
    <col min="9" max="10" width="10.7109375" style="109" customWidth="1"/>
    <col min="11" max="12" width="9.7109375" style="109" customWidth="1"/>
    <col min="13" max="14" width="10.7109375" style="109" customWidth="1"/>
    <col min="15" max="15" width="9.7109375" style="109" customWidth="1"/>
    <col min="16" max="19" width="10.7109375" style="109" customWidth="1"/>
    <col min="20" max="20" width="9.7109375" style="109" customWidth="1"/>
    <col min="21" max="21" width="11.7109375" style="109" customWidth="1"/>
    <col min="22" max="22" width="9.7109375" style="109" customWidth="1"/>
    <col min="23" max="23" width="11.5703125" style="1" bestFit="1" customWidth="1"/>
    <col min="24" max="16384" width="11.42578125" style="1"/>
  </cols>
  <sheetData>
    <row r="1" spans="1:22" ht="13.15" x14ac:dyDescent="0.3">
      <c r="A1" s="124" t="s">
        <v>27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</row>
    <row r="2" spans="1:22" ht="13.15" x14ac:dyDescent="0.3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22" ht="13.15" x14ac:dyDescent="0.3">
      <c r="A3" s="124" t="s">
        <v>28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</row>
    <row r="5" spans="1:22" ht="13.9" thickBot="1" x14ac:dyDescent="0.35">
      <c r="A5" s="124" t="s">
        <v>1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</row>
    <row r="6" spans="1:22" x14ac:dyDescent="0.25">
      <c r="A6" s="125" t="s">
        <v>2</v>
      </c>
      <c r="B6" s="127" t="s">
        <v>3</v>
      </c>
      <c r="C6" s="154" t="s">
        <v>4</v>
      </c>
      <c r="D6" s="162" t="s">
        <v>5</v>
      </c>
      <c r="E6" s="163"/>
      <c r="F6" s="163"/>
      <c r="G6" s="164"/>
      <c r="H6" s="154" t="s">
        <v>8</v>
      </c>
      <c r="I6" s="165" t="s">
        <v>9</v>
      </c>
      <c r="J6" s="156" t="s">
        <v>10</v>
      </c>
      <c r="K6" s="156" t="s">
        <v>11</v>
      </c>
      <c r="L6" s="156" t="s">
        <v>12</v>
      </c>
      <c r="M6" s="156" t="s">
        <v>13</v>
      </c>
      <c r="N6" s="156" t="s">
        <v>14</v>
      </c>
      <c r="O6" s="156" t="s">
        <v>15</v>
      </c>
      <c r="P6" s="156" t="s">
        <v>16</v>
      </c>
      <c r="Q6" s="156" t="s">
        <v>17</v>
      </c>
      <c r="R6" s="156" t="s">
        <v>18</v>
      </c>
      <c r="S6" s="156" t="s">
        <v>19</v>
      </c>
      <c r="T6" s="158" t="s">
        <v>20</v>
      </c>
      <c r="U6" s="154" t="s">
        <v>21</v>
      </c>
      <c r="V6" s="154" t="s">
        <v>22</v>
      </c>
    </row>
    <row r="7" spans="1:22" ht="13.5" thickBot="1" x14ac:dyDescent="0.3">
      <c r="A7" s="126"/>
      <c r="B7" s="128"/>
      <c r="C7" s="155"/>
      <c r="D7" s="175" t="s">
        <v>6</v>
      </c>
      <c r="E7" s="176"/>
      <c r="F7" s="176" t="s">
        <v>7</v>
      </c>
      <c r="G7" s="177"/>
      <c r="H7" s="155"/>
      <c r="I7" s="186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7"/>
      <c r="U7" s="155"/>
      <c r="V7" s="155"/>
    </row>
    <row r="8" spans="1:22" ht="118.9" x14ac:dyDescent="0.3">
      <c r="A8" s="2" t="s">
        <v>29</v>
      </c>
      <c r="B8" s="3" t="s">
        <v>30</v>
      </c>
      <c r="C8" s="64">
        <v>3000000</v>
      </c>
      <c r="D8" s="178"/>
      <c r="E8" s="179"/>
      <c r="F8" s="179"/>
      <c r="G8" s="180"/>
      <c r="H8" s="65">
        <f>C8+D8-F8</f>
        <v>3000000</v>
      </c>
      <c r="I8" s="96"/>
      <c r="J8" s="97">
        <v>0</v>
      </c>
      <c r="K8" s="97">
        <v>0</v>
      </c>
      <c r="L8" s="97"/>
      <c r="M8" s="110">
        <v>810000</v>
      </c>
      <c r="N8" s="110">
        <v>3240000</v>
      </c>
      <c r="O8" s="97"/>
      <c r="P8" s="93"/>
      <c r="Q8" s="93"/>
      <c r="R8" s="93"/>
      <c r="S8" s="93"/>
      <c r="T8" s="93"/>
      <c r="U8" s="64">
        <f>SUM(I8:T8)</f>
        <v>4050000</v>
      </c>
      <c r="V8" s="64">
        <f>H8-U8</f>
        <v>-1050000</v>
      </c>
    </row>
    <row r="9" spans="1:22" ht="52.9" x14ac:dyDescent="0.3">
      <c r="A9" s="4" t="s">
        <v>31</v>
      </c>
      <c r="B9" s="5" t="s">
        <v>32</v>
      </c>
      <c r="C9" s="70">
        <v>3300000</v>
      </c>
      <c r="D9" s="172"/>
      <c r="E9" s="173"/>
      <c r="F9" s="173"/>
      <c r="G9" s="174"/>
      <c r="H9" s="71">
        <f t="shared" ref="H9:H16" si="0">C9+D9-F9</f>
        <v>3300000</v>
      </c>
      <c r="I9" s="72">
        <v>407000</v>
      </c>
      <c r="J9" s="73">
        <v>204500</v>
      </c>
      <c r="K9" s="73">
        <v>139000</v>
      </c>
      <c r="L9" s="73">
        <v>42000</v>
      </c>
      <c r="M9" s="63">
        <v>252000</v>
      </c>
      <c r="N9" s="63">
        <v>84000</v>
      </c>
      <c r="O9" s="73">
        <v>91000</v>
      </c>
      <c r="P9" s="74">
        <f>2080500/5</f>
        <v>416100</v>
      </c>
      <c r="Q9" s="74">
        <f t="shared" ref="Q9:T9" si="1">2080500/5</f>
        <v>416100</v>
      </c>
      <c r="R9" s="74">
        <f t="shared" si="1"/>
        <v>416100</v>
      </c>
      <c r="S9" s="74">
        <f t="shared" si="1"/>
        <v>416100</v>
      </c>
      <c r="T9" s="74">
        <f t="shared" si="1"/>
        <v>416100</v>
      </c>
      <c r="U9" s="70">
        <f t="shared" ref="U9:U16" si="2">SUM(I9:T9)</f>
        <v>3300000</v>
      </c>
      <c r="V9" s="70">
        <f t="shared" ref="V9:V16" si="3">H9-U9</f>
        <v>0</v>
      </c>
    </row>
    <row r="10" spans="1:22" ht="39.6" x14ac:dyDescent="0.3">
      <c r="A10" s="4" t="s">
        <v>33</v>
      </c>
      <c r="B10" s="5" t="s">
        <v>34</v>
      </c>
      <c r="C10" s="70">
        <v>78000000</v>
      </c>
      <c r="D10" s="172"/>
      <c r="E10" s="173"/>
      <c r="F10" s="173"/>
      <c r="G10" s="174"/>
      <c r="H10" s="71">
        <f t="shared" si="0"/>
        <v>78000000</v>
      </c>
      <c r="I10" s="72"/>
      <c r="J10" s="73">
        <v>62478528</v>
      </c>
      <c r="K10" s="73"/>
      <c r="L10" s="73"/>
      <c r="M10" s="73"/>
      <c r="N10" s="73"/>
      <c r="O10" s="73"/>
      <c r="P10" s="74">
        <v>15521472</v>
      </c>
      <c r="Q10" s="74"/>
      <c r="R10" s="74"/>
      <c r="S10" s="74"/>
      <c r="T10" s="75"/>
      <c r="U10" s="70">
        <f t="shared" si="2"/>
        <v>78000000</v>
      </c>
      <c r="V10" s="70">
        <f t="shared" si="3"/>
        <v>0</v>
      </c>
    </row>
    <row r="11" spans="1:22" ht="26.45" x14ac:dyDescent="0.3">
      <c r="A11" s="4" t="s">
        <v>35</v>
      </c>
      <c r="B11" s="5" t="s">
        <v>36</v>
      </c>
      <c r="C11" s="70">
        <v>28000000</v>
      </c>
      <c r="D11" s="172"/>
      <c r="E11" s="173"/>
      <c r="F11" s="173"/>
      <c r="G11" s="174"/>
      <c r="H11" s="71">
        <f t="shared" si="0"/>
        <v>28000000</v>
      </c>
      <c r="I11" s="72"/>
      <c r="J11" s="73"/>
      <c r="K11" s="73"/>
      <c r="L11" s="73"/>
      <c r="M11" s="73"/>
      <c r="N11" s="73"/>
      <c r="O11" s="73"/>
      <c r="P11" s="74">
        <v>28000000</v>
      </c>
      <c r="Q11" s="74"/>
      <c r="R11" s="74"/>
      <c r="S11" s="74"/>
      <c r="T11" s="75"/>
      <c r="U11" s="70">
        <f t="shared" si="2"/>
        <v>28000000</v>
      </c>
      <c r="V11" s="70">
        <f t="shared" si="3"/>
        <v>0</v>
      </c>
    </row>
    <row r="12" spans="1:22" ht="26.45" x14ac:dyDescent="0.3">
      <c r="A12" s="4" t="s">
        <v>37</v>
      </c>
      <c r="B12" s="5" t="s">
        <v>38</v>
      </c>
      <c r="C12" s="70">
        <v>200000</v>
      </c>
      <c r="D12" s="172"/>
      <c r="E12" s="173"/>
      <c r="F12" s="173"/>
      <c r="G12" s="174"/>
      <c r="H12" s="71">
        <f t="shared" si="0"/>
        <v>200000</v>
      </c>
      <c r="I12" s="72">
        <v>1100</v>
      </c>
      <c r="J12" s="73">
        <v>1787</v>
      </c>
      <c r="K12" s="73">
        <v>6206</v>
      </c>
      <c r="L12" s="63">
        <v>5859</v>
      </c>
      <c r="M12" s="63">
        <v>5872</v>
      </c>
      <c r="N12" s="63">
        <v>5641</v>
      </c>
      <c r="O12" s="73">
        <v>5794</v>
      </c>
      <c r="P12" s="74">
        <f>167741/5</f>
        <v>33548.199999999997</v>
      </c>
      <c r="Q12" s="74">
        <f t="shared" ref="Q12:T12" si="4">167741/5</f>
        <v>33548.199999999997</v>
      </c>
      <c r="R12" s="74">
        <f t="shared" si="4"/>
        <v>33548.199999999997</v>
      </c>
      <c r="S12" s="74">
        <f t="shared" si="4"/>
        <v>33548.199999999997</v>
      </c>
      <c r="T12" s="74">
        <f t="shared" si="4"/>
        <v>33548.199999999997</v>
      </c>
      <c r="U12" s="70">
        <f t="shared" si="2"/>
        <v>200000</v>
      </c>
      <c r="V12" s="70">
        <f t="shared" si="3"/>
        <v>0</v>
      </c>
    </row>
    <row r="13" spans="1:22" ht="26.45" x14ac:dyDescent="0.3">
      <c r="A13" s="6" t="s">
        <v>39</v>
      </c>
      <c r="B13" s="7" t="s">
        <v>40</v>
      </c>
      <c r="C13" s="76">
        <v>1000</v>
      </c>
      <c r="D13" s="172">
        <v>1075935</v>
      </c>
      <c r="E13" s="173"/>
      <c r="F13" s="173"/>
      <c r="G13" s="174"/>
      <c r="H13" s="71">
        <f t="shared" si="0"/>
        <v>1076935</v>
      </c>
      <c r="I13" s="77">
        <v>1075935</v>
      </c>
      <c r="J13" s="78"/>
      <c r="K13" s="78"/>
      <c r="L13" s="78"/>
      <c r="M13" s="78"/>
      <c r="N13" s="78"/>
      <c r="O13" s="78"/>
      <c r="P13" s="79">
        <v>1000</v>
      </c>
      <c r="Q13" s="79"/>
      <c r="R13" s="79"/>
      <c r="S13" s="79"/>
      <c r="T13" s="80"/>
      <c r="U13" s="70">
        <f t="shared" si="2"/>
        <v>1076935</v>
      </c>
      <c r="V13" s="70">
        <f t="shared" si="3"/>
        <v>0</v>
      </c>
    </row>
    <row r="14" spans="1:22" ht="26.45" x14ac:dyDescent="0.3">
      <c r="A14" s="6" t="s">
        <v>41</v>
      </c>
      <c r="B14" s="7" t="s">
        <v>42</v>
      </c>
      <c r="C14" s="76">
        <v>1000</v>
      </c>
      <c r="D14" s="172">
        <v>30546317</v>
      </c>
      <c r="E14" s="173"/>
      <c r="F14" s="173"/>
      <c r="G14" s="174"/>
      <c r="H14" s="71">
        <f t="shared" si="0"/>
        <v>30547317</v>
      </c>
      <c r="I14" s="77">
        <v>30546317</v>
      </c>
      <c r="J14" s="78"/>
      <c r="K14" s="78"/>
      <c r="L14" s="78"/>
      <c r="M14" s="78"/>
      <c r="N14" s="78"/>
      <c r="O14" s="78"/>
      <c r="P14" s="79">
        <v>1000</v>
      </c>
      <c r="Q14" s="79"/>
      <c r="R14" s="79"/>
      <c r="S14" s="79"/>
      <c r="T14" s="80"/>
      <c r="U14" s="70">
        <f t="shared" si="2"/>
        <v>30547317</v>
      </c>
      <c r="V14" s="70">
        <f t="shared" si="3"/>
        <v>0</v>
      </c>
    </row>
    <row r="15" spans="1:22" ht="26.45" x14ac:dyDescent="0.3">
      <c r="A15" s="6" t="s">
        <v>43</v>
      </c>
      <c r="B15" s="7" t="s">
        <v>44</v>
      </c>
      <c r="C15" s="76">
        <v>1000</v>
      </c>
      <c r="D15" s="172">
        <v>19939560</v>
      </c>
      <c r="E15" s="173"/>
      <c r="F15" s="173"/>
      <c r="G15" s="174"/>
      <c r="H15" s="71">
        <f t="shared" si="0"/>
        <v>19940560</v>
      </c>
      <c r="I15" s="77">
        <v>19939560</v>
      </c>
      <c r="J15" s="78"/>
      <c r="K15" s="78"/>
      <c r="L15" s="78"/>
      <c r="M15" s="78"/>
      <c r="N15" s="78"/>
      <c r="O15" s="78"/>
      <c r="P15" s="79">
        <v>1000</v>
      </c>
      <c r="Q15" s="79"/>
      <c r="R15" s="79"/>
      <c r="S15" s="79"/>
      <c r="T15" s="80"/>
      <c r="U15" s="70">
        <f t="shared" si="2"/>
        <v>19940560</v>
      </c>
      <c r="V15" s="70">
        <f t="shared" si="3"/>
        <v>0</v>
      </c>
    </row>
    <row r="16" spans="1:22" ht="13.9" thickBot="1" x14ac:dyDescent="0.35">
      <c r="A16" s="6"/>
      <c r="B16" s="7"/>
      <c r="C16" s="76"/>
      <c r="D16" s="167"/>
      <c r="E16" s="168"/>
      <c r="F16" s="168"/>
      <c r="G16" s="169"/>
      <c r="H16" s="71">
        <f t="shared" si="0"/>
        <v>0</v>
      </c>
      <c r="I16" s="81"/>
      <c r="J16" s="82"/>
      <c r="K16" s="82"/>
      <c r="L16" s="82"/>
      <c r="M16" s="82"/>
      <c r="N16" s="82"/>
      <c r="O16" s="82"/>
      <c r="P16" s="83"/>
      <c r="Q16" s="83"/>
      <c r="R16" s="83"/>
      <c r="S16" s="83"/>
      <c r="T16" s="84"/>
      <c r="U16" s="70">
        <f t="shared" si="2"/>
        <v>0</v>
      </c>
      <c r="V16" s="70">
        <f t="shared" si="3"/>
        <v>0</v>
      </c>
    </row>
    <row r="17" spans="1:22" ht="13.9" thickBot="1" x14ac:dyDescent="0.35">
      <c r="A17" s="135" t="s">
        <v>26</v>
      </c>
      <c r="B17" s="136"/>
      <c r="C17" s="85">
        <f>SUM(C8:C16)</f>
        <v>112503000</v>
      </c>
      <c r="D17" s="170">
        <f>SUM(D8:E16)</f>
        <v>51561812</v>
      </c>
      <c r="E17" s="171"/>
      <c r="F17" s="170">
        <f>SUM(F8:G16)</f>
        <v>0</v>
      </c>
      <c r="G17" s="171"/>
      <c r="H17" s="85">
        <f t="shared" ref="H17:V17" si="5">SUM(H8:H16)</f>
        <v>164064812</v>
      </c>
      <c r="I17" s="86">
        <f t="shared" si="5"/>
        <v>51969912</v>
      </c>
      <c r="J17" s="87">
        <f t="shared" si="5"/>
        <v>62684815</v>
      </c>
      <c r="K17" s="87">
        <f t="shared" si="5"/>
        <v>145206</v>
      </c>
      <c r="L17" s="87">
        <f t="shared" si="5"/>
        <v>47859</v>
      </c>
      <c r="M17" s="87">
        <f t="shared" si="5"/>
        <v>1067872</v>
      </c>
      <c r="N17" s="111">
        <f t="shared" si="5"/>
        <v>3329641</v>
      </c>
      <c r="O17" s="87">
        <f t="shared" si="5"/>
        <v>96794</v>
      </c>
      <c r="P17" s="87">
        <f t="shared" si="5"/>
        <v>43974120.200000003</v>
      </c>
      <c r="Q17" s="87">
        <f t="shared" si="5"/>
        <v>449648.2</v>
      </c>
      <c r="R17" s="87">
        <f t="shared" si="5"/>
        <v>449648.2</v>
      </c>
      <c r="S17" s="87">
        <f t="shared" si="5"/>
        <v>449648.2</v>
      </c>
      <c r="T17" s="88">
        <f t="shared" si="5"/>
        <v>449648.2</v>
      </c>
      <c r="U17" s="85">
        <f t="shared" si="5"/>
        <v>165114812</v>
      </c>
      <c r="V17" s="85">
        <f t="shared" si="5"/>
        <v>-1050000</v>
      </c>
    </row>
    <row r="19" spans="1:22" ht="13.9" thickBot="1" x14ac:dyDescent="0.35">
      <c r="A19" s="124" t="s">
        <v>23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</row>
    <row r="20" spans="1:22" x14ac:dyDescent="0.25">
      <c r="A20" s="133" t="s">
        <v>2</v>
      </c>
      <c r="B20" s="127" t="s">
        <v>3</v>
      </c>
      <c r="C20" s="154" t="s">
        <v>4</v>
      </c>
      <c r="D20" s="162" t="s">
        <v>5</v>
      </c>
      <c r="E20" s="163"/>
      <c r="F20" s="163"/>
      <c r="G20" s="164"/>
      <c r="H20" s="154" t="s">
        <v>8</v>
      </c>
      <c r="I20" s="165" t="s">
        <v>9</v>
      </c>
      <c r="J20" s="156" t="s">
        <v>10</v>
      </c>
      <c r="K20" s="156" t="s">
        <v>11</v>
      </c>
      <c r="L20" s="156" t="s">
        <v>12</v>
      </c>
      <c r="M20" s="156" t="s">
        <v>13</v>
      </c>
      <c r="N20" s="156" t="s">
        <v>14</v>
      </c>
      <c r="O20" s="156" t="s">
        <v>15</v>
      </c>
      <c r="P20" s="156" t="s">
        <v>16</v>
      </c>
      <c r="Q20" s="156" t="s">
        <v>17</v>
      </c>
      <c r="R20" s="156" t="s">
        <v>18</v>
      </c>
      <c r="S20" s="156" t="s">
        <v>19</v>
      </c>
      <c r="T20" s="158" t="s">
        <v>20</v>
      </c>
      <c r="U20" s="183" t="s">
        <v>21</v>
      </c>
      <c r="V20" s="154" t="s">
        <v>22</v>
      </c>
    </row>
    <row r="21" spans="1:22" ht="90" thickBot="1" x14ac:dyDescent="0.3">
      <c r="A21" s="149"/>
      <c r="B21" s="128"/>
      <c r="C21" s="155"/>
      <c r="D21" s="89" t="s">
        <v>6</v>
      </c>
      <c r="E21" s="90" t="s">
        <v>7</v>
      </c>
      <c r="F21" s="90" t="s">
        <v>24</v>
      </c>
      <c r="G21" s="91" t="s">
        <v>25</v>
      </c>
      <c r="H21" s="155"/>
      <c r="I21" s="166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9"/>
      <c r="U21" s="184"/>
      <c r="V21" s="155"/>
    </row>
    <row r="22" spans="1:22" ht="39.6" x14ac:dyDescent="0.3">
      <c r="A22" s="2" t="s">
        <v>75</v>
      </c>
      <c r="B22" s="3" t="s">
        <v>76</v>
      </c>
      <c r="C22" s="64">
        <v>0</v>
      </c>
      <c r="D22" s="92">
        <v>19939560</v>
      </c>
      <c r="E22" s="93"/>
      <c r="F22" s="93"/>
      <c r="G22" s="94"/>
      <c r="H22" s="65">
        <f>C22+D22-E22+F22-G22</f>
        <v>19939560</v>
      </c>
      <c r="I22" s="66"/>
      <c r="J22" s="67"/>
      <c r="K22" s="67"/>
      <c r="L22" s="67"/>
      <c r="M22" s="63">
        <v>18914500</v>
      </c>
      <c r="N22" s="67"/>
      <c r="O22" s="67"/>
      <c r="P22" s="68">
        <f>1025060/4</f>
        <v>256265</v>
      </c>
      <c r="Q22" s="68">
        <f t="shared" ref="Q22:S22" si="6">1025060/4</f>
        <v>256265</v>
      </c>
      <c r="R22" s="68">
        <f t="shared" si="6"/>
        <v>256265</v>
      </c>
      <c r="S22" s="68">
        <f t="shared" si="6"/>
        <v>256265</v>
      </c>
      <c r="T22" s="69"/>
      <c r="U22" s="112">
        <f>SUM(I22:T22)</f>
        <v>19939560</v>
      </c>
      <c r="V22" s="64">
        <f>H22-U22</f>
        <v>0</v>
      </c>
    </row>
    <row r="23" spans="1:22" ht="39.6" x14ac:dyDescent="0.3">
      <c r="A23" s="2" t="s">
        <v>45</v>
      </c>
      <c r="B23" s="3" t="s">
        <v>46</v>
      </c>
      <c r="C23" s="64">
        <v>18500000</v>
      </c>
      <c r="D23" s="92"/>
      <c r="E23" s="93"/>
      <c r="F23" s="93"/>
      <c r="G23" s="94"/>
      <c r="H23" s="65">
        <f t="shared" ref="H23:H40" si="7">C23+D23-E23+F23-G23</f>
        <v>18500000</v>
      </c>
      <c r="I23" s="96"/>
      <c r="J23" s="97"/>
      <c r="K23" s="97"/>
      <c r="L23" s="97"/>
      <c r="M23" s="97"/>
      <c r="N23" s="97"/>
      <c r="O23" s="97"/>
      <c r="P23" s="93">
        <f>18500000/4</f>
        <v>4625000</v>
      </c>
      <c r="Q23" s="93">
        <f t="shared" ref="Q23:S23" si="8">18500000/4</f>
        <v>4625000</v>
      </c>
      <c r="R23" s="93">
        <f t="shared" si="8"/>
        <v>4625000</v>
      </c>
      <c r="S23" s="93">
        <f t="shared" si="8"/>
        <v>4625000</v>
      </c>
      <c r="T23" s="98"/>
      <c r="U23" s="113">
        <f t="shared" ref="U23:U40" si="9">SUM(I23:T23)</f>
        <v>18500000</v>
      </c>
      <c r="V23" s="64">
        <f t="shared" ref="V23:V40" si="10">H23-U23</f>
        <v>0</v>
      </c>
    </row>
    <row r="24" spans="1:22" ht="52.9" x14ac:dyDescent="0.3">
      <c r="A24" s="2" t="s">
        <v>77</v>
      </c>
      <c r="B24" s="3" t="s">
        <v>78</v>
      </c>
      <c r="C24" s="64">
        <v>0</v>
      </c>
      <c r="D24" s="92">
        <v>16000000</v>
      </c>
      <c r="E24" s="93"/>
      <c r="F24" s="93"/>
      <c r="G24" s="94"/>
      <c r="H24" s="65">
        <f t="shared" si="7"/>
        <v>16000000</v>
      </c>
      <c r="I24" s="96"/>
      <c r="J24" s="97"/>
      <c r="K24" s="97"/>
      <c r="L24" s="97"/>
      <c r="M24" s="97"/>
      <c r="N24" s="63">
        <v>13781100</v>
      </c>
      <c r="O24" s="97"/>
      <c r="P24" s="93">
        <f>2218900/4</f>
        <v>554725</v>
      </c>
      <c r="Q24" s="93">
        <f t="shared" ref="Q24:S24" si="11">2218900/4</f>
        <v>554725</v>
      </c>
      <c r="R24" s="93">
        <f t="shared" si="11"/>
        <v>554725</v>
      </c>
      <c r="S24" s="93">
        <f t="shared" si="11"/>
        <v>554725</v>
      </c>
      <c r="T24" s="93"/>
      <c r="U24" s="113">
        <f t="shared" si="9"/>
        <v>16000000</v>
      </c>
      <c r="V24" s="64">
        <f t="shared" si="10"/>
        <v>0</v>
      </c>
    </row>
    <row r="25" spans="1:22" ht="26.45" x14ac:dyDescent="0.3">
      <c r="A25" s="2" t="s">
        <v>47</v>
      </c>
      <c r="B25" s="3" t="s">
        <v>48</v>
      </c>
      <c r="C25" s="64">
        <v>14000000</v>
      </c>
      <c r="D25" s="92"/>
      <c r="E25" s="93"/>
      <c r="F25" s="93"/>
      <c r="G25" s="94"/>
      <c r="H25" s="65">
        <f t="shared" si="7"/>
        <v>14000000</v>
      </c>
      <c r="I25" s="72"/>
      <c r="J25" s="73"/>
      <c r="K25" s="73"/>
      <c r="L25" s="73"/>
      <c r="M25" s="73"/>
      <c r="N25" s="63">
        <v>13008569.92</v>
      </c>
      <c r="O25" s="73"/>
      <c r="P25" s="74">
        <f>991430/4</f>
        <v>247857.5</v>
      </c>
      <c r="Q25" s="74">
        <f t="shared" ref="Q25:S25" si="12">991430/4</f>
        <v>247857.5</v>
      </c>
      <c r="R25" s="74">
        <f t="shared" si="12"/>
        <v>247857.5</v>
      </c>
      <c r="S25" s="74">
        <f t="shared" si="12"/>
        <v>247857.5</v>
      </c>
      <c r="T25" s="75"/>
      <c r="U25" s="113">
        <f t="shared" si="9"/>
        <v>13999999.92</v>
      </c>
      <c r="V25" s="64">
        <f t="shared" si="10"/>
        <v>8.0000000074505806E-2</v>
      </c>
    </row>
    <row r="26" spans="1:22" ht="39.6" x14ac:dyDescent="0.3">
      <c r="A26" s="2" t="s">
        <v>49</v>
      </c>
      <c r="B26" s="3" t="s">
        <v>50</v>
      </c>
      <c r="C26" s="64">
        <v>1000</v>
      </c>
      <c r="D26" s="92"/>
      <c r="E26" s="93"/>
      <c r="F26" s="93"/>
      <c r="G26" s="94"/>
      <c r="H26" s="65">
        <f t="shared" si="7"/>
        <v>1000</v>
      </c>
      <c r="I26" s="72"/>
      <c r="J26" s="73"/>
      <c r="K26" s="73"/>
      <c r="L26" s="73"/>
      <c r="M26" s="73"/>
      <c r="N26" s="73"/>
      <c r="O26" s="73"/>
      <c r="P26" s="74">
        <f>1000/4</f>
        <v>250</v>
      </c>
      <c r="Q26" s="74">
        <f t="shared" ref="Q26:S26" si="13">1000/4</f>
        <v>250</v>
      </c>
      <c r="R26" s="74">
        <f t="shared" si="13"/>
        <v>250</v>
      </c>
      <c r="S26" s="74">
        <f t="shared" si="13"/>
        <v>250</v>
      </c>
      <c r="T26" s="75"/>
      <c r="U26" s="113">
        <f t="shared" si="9"/>
        <v>1000</v>
      </c>
      <c r="V26" s="64">
        <f t="shared" si="10"/>
        <v>0</v>
      </c>
    </row>
    <row r="27" spans="1:22" ht="26.45" x14ac:dyDescent="0.3">
      <c r="A27" s="2" t="s">
        <v>51</v>
      </c>
      <c r="B27" s="3" t="s">
        <v>52</v>
      </c>
      <c r="C27" s="64">
        <v>20000000</v>
      </c>
      <c r="D27" s="92"/>
      <c r="E27" s="93"/>
      <c r="F27" s="93"/>
      <c r="G27" s="94"/>
      <c r="H27" s="65">
        <f t="shared" si="7"/>
        <v>20000000</v>
      </c>
      <c r="I27" s="72"/>
      <c r="J27" s="73"/>
      <c r="K27" s="73"/>
      <c r="L27" s="73"/>
      <c r="M27" s="73"/>
      <c r="N27" s="73"/>
      <c r="O27" s="73"/>
      <c r="P27" s="74">
        <f>20000000/4</f>
        <v>5000000</v>
      </c>
      <c r="Q27" s="74">
        <f t="shared" ref="Q27:S27" si="14">20000000/4</f>
        <v>5000000</v>
      </c>
      <c r="R27" s="74">
        <f t="shared" si="14"/>
        <v>5000000</v>
      </c>
      <c r="S27" s="74">
        <f t="shared" si="14"/>
        <v>5000000</v>
      </c>
      <c r="T27" s="75"/>
      <c r="U27" s="113">
        <f t="shared" si="9"/>
        <v>20000000</v>
      </c>
      <c r="V27" s="64">
        <f t="shared" si="10"/>
        <v>0</v>
      </c>
    </row>
    <row r="28" spans="1:22" ht="26.45" x14ac:dyDescent="0.3">
      <c r="A28" s="2" t="s">
        <v>53</v>
      </c>
      <c r="B28" s="3" t="s">
        <v>54</v>
      </c>
      <c r="C28" s="64">
        <v>2300000</v>
      </c>
      <c r="D28" s="92"/>
      <c r="E28" s="93"/>
      <c r="F28" s="93"/>
      <c r="G28" s="94"/>
      <c r="H28" s="65">
        <f t="shared" si="7"/>
        <v>2300000</v>
      </c>
      <c r="I28" s="72"/>
      <c r="J28" s="73"/>
      <c r="K28" s="73"/>
      <c r="L28" s="73"/>
      <c r="M28" s="73"/>
      <c r="N28" s="73"/>
      <c r="O28" s="73"/>
      <c r="P28" s="74">
        <f>2300000/4</f>
        <v>575000</v>
      </c>
      <c r="Q28" s="74">
        <f t="shared" ref="Q28:S28" si="15">2300000/4</f>
        <v>575000</v>
      </c>
      <c r="R28" s="74">
        <f t="shared" si="15"/>
        <v>575000</v>
      </c>
      <c r="S28" s="74">
        <f t="shared" si="15"/>
        <v>575000</v>
      </c>
      <c r="T28" s="75"/>
      <c r="U28" s="113">
        <f t="shared" si="9"/>
        <v>2300000</v>
      </c>
      <c r="V28" s="64">
        <f t="shared" si="10"/>
        <v>0</v>
      </c>
    </row>
    <row r="29" spans="1:22" ht="26.45" x14ac:dyDescent="0.3">
      <c r="A29" s="2" t="s">
        <v>55</v>
      </c>
      <c r="B29" s="3" t="s">
        <v>56</v>
      </c>
      <c r="C29" s="64">
        <v>200000</v>
      </c>
      <c r="D29" s="92"/>
      <c r="E29" s="93"/>
      <c r="F29" s="93"/>
      <c r="G29" s="94"/>
      <c r="H29" s="65">
        <f t="shared" si="7"/>
        <v>200000</v>
      </c>
      <c r="I29" s="72"/>
      <c r="J29" s="73"/>
      <c r="K29" s="73"/>
      <c r="L29" s="73"/>
      <c r="M29" s="73"/>
      <c r="N29" s="73"/>
      <c r="O29" s="73"/>
      <c r="P29" s="74">
        <f>200000/4</f>
        <v>50000</v>
      </c>
      <c r="Q29" s="74">
        <f t="shared" ref="Q29:S29" si="16">200000/4</f>
        <v>50000</v>
      </c>
      <c r="R29" s="74">
        <f t="shared" si="16"/>
        <v>50000</v>
      </c>
      <c r="S29" s="74">
        <f t="shared" si="16"/>
        <v>50000</v>
      </c>
      <c r="T29" s="75"/>
      <c r="U29" s="113">
        <f t="shared" si="9"/>
        <v>200000</v>
      </c>
      <c r="V29" s="64">
        <f t="shared" si="10"/>
        <v>0</v>
      </c>
    </row>
    <row r="30" spans="1:22" ht="39.6" x14ac:dyDescent="0.3">
      <c r="A30" s="2" t="s">
        <v>57</v>
      </c>
      <c r="B30" s="3" t="s">
        <v>58</v>
      </c>
      <c r="C30" s="64">
        <v>1500000</v>
      </c>
      <c r="D30" s="92"/>
      <c r="E30" s="93"/>
      <c r="F30" s="93"/>
      <c r="G30" s="94"/>
      <c r="H30" s="65">
        <f t="shared" si="7"/>
        <v>1500000</v>
      </c>
      <c r="I30" s="72">
        <v>146251</v>
      </c>
      <c r="J30" s="73">
        <v>114597</v>
      </c>
      <c r="K30" s="73">
        <v>100257</v>
      </c>
      <c r="L30" s="73"/>
      <c r="M30" s="63">
        <v>82943</v>
      </c>
      <c r="N30" s="63">
        <v>82943</v>
      </c>
      <c r="O30" s="73">
        <v>82943</v>
      </c>
      <c r="P30" s="74">
        <f>890066/5</f>
        <v>178013.2</v>
      </c>
      <c r="Q30" s="74">
        <f t="shared" ref="Q30:T30" si="17">890066/5</f>
        <v>178013.2</v>
      </c>
      <c r="R30" s="74">
        <f t="shared" si="17"/>
        <v>178013.2</v>
      </c>
      <c r="S30" s="74">
        <f t="shared" si="17"/>
        <v>178013.2</v>
      </c>
      <c r="T30" s="74">
        <f t="shared" si="17"/>
        <v>178013.2</v>
      </c>
      <c r="U30" s="113">
        <f t="shared" si="9"/>
        <v>1499999.9999999998</v>
      </c>
      <c r="V30" s="64">
        <f t="shared" si="10"/>
        <v>0</v>
      </c>
    </row>
    <row r="31" spans="1:22" ht="39.6" x14ac:dyDescent="0.3">
      <c r="A31" s="2" t="s">
        <v>79</v>
      </c>
      <c r="B31" s="3" t="s">
        <v>80</v>
      </c>
      <c r="C31" s="64">
        <v>0</v>
      </c>
      <c r="D31" s="92">
        <v>1075935</v>
      </c>
      <c r="E31" s="93"/>
      <c r="F31" s="93"/>
      <c r="G31" s="94"/>
      <c r="H31" s="65">
        <f t="shared" si="7"/>
        <v>1075935</v>
      </c>
      <c r="I31" s="72"/>
      <c r="J31" s="73"/>
      <c r="K31" s="73"/>
      <c r="L31" s="63">
        <v>82943</v>
      </c>
      <c r="M31" s="73"/>
      <c r="N31" s="73"/>
      <c r="O31" s="73"/>
      <c r="P31" s="74">
        <f>992992/5</f>
        <v>198598.39999999999</v>
      </c>
      <c r="Q31" s="74">
        <f t="shared" ref="Q31:T31" si="18">992992/5</f>
        <v>198598.39999999999</v>
      </c>
      <c r="R31" s="74">
        <f t="shared" si="18"/>
        <v>198598.39999999999</v>
      </c>
      <c r="S31" s="74">
        <f t="shared" si="18"/>
        <v>198598.39999999999</v>
      </c>
      <c r="T31" s="74">
        <f t="shared" si="18"/>
        <v>198598.39999999999</v>
      </c>
      <c r="U31" s="113">
        <f t="shared" si="9"/>
        <v>1075935</v>
      </c>
      <c r="V31" s="64">
        <f t="shared" si="10"/>
        <v>0</v>
      </c>
    </row>
    <row r="32" spans="1:22" ht="39.6" x14ac:dyDescent="0.3">
      <c r="A32" s="2" t="s">
        <v>59</v>
      </c>
      <c r="B32" s="3" t="s">
        <v>60</v>
      </c>
      <c r="C32" s="64">
        <v>5000000</v>
      </c>
      <c r="D32" s="92"/>
      <c r="E32" s="93"/>
      <c r="F32" s="93"/>
      <c r="G32" s="94"/>
      <c r="H32" s="65">
        <f t="shared" si="7"/>
        <v>5000000</v>
      </c>
      <c r="I32" s="72"/>
      <c r="J32" s="73"/>
      <c r="K32" s="73"/>
      <c r="L32" s="73"/>
      <c r="M32" s="73"/>
      <c r="N32" s="73"/>
      <c r="O32" s="73">
        <v>4405397</v>
      </c>
      <c r="P32" s="74">
        <f>594603/4</f>
        <v>148650.75</v>
      </c>
      <c r="Q32" s="74">
        <f t="shared" ref="Q32:S32" si="19">594603/4</f>
        <v>148650.75</v>
      </c>
      <c r="R32" s="74">
        <f t="shared" si="19"/>
        <v>148650.75</v>
      </c>
      <c r="S32" s="74">
        <f t="shared" si="19"/>
        <v>148650.75</v>
      </c>
      <c r="T32" s="75"/>
      <c r="U32" s="113">
        <f t="shared" si="9"/>
        <v>5000000</v>
      </c>
      <c r="V32" s="64">
        <f t="shared" si="10"/>
        <v>0</v>
      </c>
    </row>
    <row r="33" spans="1:22" ht="39.6" x14ac:dyDescent="0.3">
      <c r="A33" s="2" t="s">
        <v>61</v>
      </c>
      <c r="B33" s="3" t="s">
        <v>62</v>
      </c>
      <c r="C33" s="64">
        <v>24000000</v>
      </c>
      <c r="D33" s="92"/>
      <c r="E33" s="93"/>
      <c r="F33" s="93"/>
      <c r="G33" s="94"/>
      <c r="H33" s="65">
        <f t="shared" si="7"/>
        <v>24000000</v>
      </c>
      <c r="I33" s="72"/>
      <c r="J33" s="73"/>
      <c r="K33" s="73"/>
      <c r="L33" s="73"/>
      <c r="M33" s="73"/>
      <c r="N33" s="73"/>
      <c r="O33" s="73"/>
      <c r="P33" s="74">
        <f>24000000/4</f>
        <v>6000000</v>
      </c>
      <c r="Q33" s="74">
        <f>24000000/4</f>
        <v>6000000</v>
      </c>
      <c r="R33" s="74">
        <f>24000000/4</f>
        <v>6000000</v>
      </c>
      <c r="S33" s="74">
        <f>24000000/4</f>
        <v>6000000</v>
      </c>
      <c r="T33" s="75"/>
      <c r="U33" s="113">
        <f t="shared" si="9"/>
        <v>24000000</v>
      </c>
      <c r="V33" s="64">
        <f t="shared" si="10"/>
        <v>0</v>
      </c>
    </row>
    <row r="34" spans="1:22" ht="39.6" x14ac:dyDescent="0.3">
      <c r="A34" s="2" t="s">
        <v>81</v>
      </c>
      <c r="B34" s="3" t="s">
        <v>82</v>
      </c>
      <c r="C34" s="64">
        <v>0</v>
      </c>
      <c r="D34" s="92">
        <v>8000000</v>
      </c>
      <c r="E34" s="93"/>
      <c r="F34" s="93"/>
      <c r="G34" s="94"/>
      <c r="H34" s="65">
        <f t="shared" si="7"/>
        <v>8000000</v>
      </c>
      <c r="I34" s="72"/>
      <c r="J34" s="73"/>
      <c r="K34" s="73">
        <v>2000000</v>
      </c>
      <c r="L34" s="63">
        <v>2000000</v>
      </c>
      <c r="M34" s="63">
        <v>2000000</v>
      </c>
      <c r="N34" s="63">
        <v>2000000</v>
      </c>
      <c r="O34" s="73"/>
      <c r="P34" s="74"/>
      <c r="Q34" s="74"/>
      <c r="R34" s="74"/>
      <c r="S34" s="74"/>
      <c r="T34" s="75"/>
      <c r="U34" s="113">
        <f t="shared" si="9"/>
        <v>8000000</v>
      </c>
      <c r="V34" s="64">
        <f t="shared" si="10"/>
        <v>0</v>
      </c>
    </row>
    <row r="35" spans="1:22" ht="39.6" x14ac:dyDescent="0.3">
      <c r="A35" s="2" t="s">
        <v>63</v>
      </c>
      <c r="B35" s="3" t="s">
        <v>64</v>
      </c>
      <c r="C35" s="64">
        <v>7200000</v>
      </c>
      <c r="D35" s="92"/>
      <c r="E35" s="93"/>
      <c r="F35" s="93"/>
      <c r="G35" s="94"/>
      <c r="H35" s="65">
        <f t="shared" si="7"/>
        <v>7200000</v>
      </c>
      <c r="I35" s="72"/>
      <c r="J35" s="73"/>
      <c r="K35" s="73"/>
      <c r="L35" s="73"/>
      <c r="M35" s="73"/>
      <c r="N35" s="73"/>
      <c r="O35" s="73"/>
      <c r="P35" s="74">
        <f>7200000/4</f>
        <v>1800000</v>
      </c>
      <c r="Q35" s="74">
        <f t="shared" ref="Q35:S35" si="20">7200000/4</f>
        <v>1800000</v>
      </c>
      <c r="R35" s="74">
        <f t="shared" si="20"/>
        <v>1800000</v>
      </c>
      <c r="S35" s="74">
        <f t="shared" si="20"/>
        <v>1800000</v>
      </c>
      <c r="T35" s="75"/>
      <c r="U35" s="113">
        <f t="shared" si="9"/>
        <v>7200000</v>
      </c>
      <c r="V35" s="64">
        <f t="shared" si="10"/>
        <v>0</v>
      </c>
    </row>
    <row r="36" spans="1:22" ht="39.6" x14ac:dyDescent="0.3">
      <c r="A36" s="2" t="s">
        <v>65</v>
      </c>
      <c r="B36" s="3" t="s">
        <v>66</v>
      </c>
      <c r="C36" s="64">
        <v>8500000</v>
      </c>
      <c r="D36" s="92"/>
      <c r="E36" s="93"/>
      <c r="F36" s="93"/>
      <c r="G36" s="94"/>
      <c r="H36" s="65">
        <f t="shared" si="7"/>
        <v>8500000</v>
      </c>
      <c r="I36" s="72"/>
      <c r="J36" s="73"/>
      <c r="K36" s="73"/>
      <c r="L36" s="73"/>
      <c r="M36" s="73"/>
      <c r="N36" s="73"/>
      <c r="O36" s="73"/>
      <c r="P36" s="74">
        <f>8500000/4</f>
        <v>2125000</v>
      </c>
      <c r="Q36" s="74">
        <f t="shared" ref="Q36:S36" si="21">8500000/4</f>
        <v>2125000</v>
      </c>
      <c r="R36" s="74">
        <f t="shared" si="21"/>
        <v>2125000</v>
      </c>
      <c r="S36" s="74">
        <f t="shared" si="21"/>
        <v>2125000</v>
      </c>
      <c r="T36" s="75"/>
      <c r="U36" s="113">
        <f t="shared" si="9"/>
        <v>8500000</v>
      </c>
      <c r="V36" s="64">
        <f t="shared" si="10"/>
        <v>0</v>
      </c>
    </row>
    <row r="37" spans="1:22" ht="39.6" x14ac:dyDescent="0.3">
      <c r="A37" s="2" t="s">
        <v>67</v>
      </c>
      <c r="B37" s="3" t="s">
        <v>68</v>
      </c>
      <c r="C37" s="64">
        <v>4800000</v>
      </c>
      <c r="D37" s="92"/>
      <c r="E37" s="93"/>
      <c r="F37" s="93"/>
      <c r="G37" s="94"/>
      <c r="H37" s="65">
        <f t="shared" si="7"/>
        <v>4800000</v>
      </c>
      <c r="I37" s="72"/>
      <c r="J37" s="73"/>
      <c r="K37" s="73"/>
      <c r="L37" s="73"/>
      <c r="M37" s="73"/>
      <c r="N37" s="73"/>
      <c r="O37" s="73"/>
      <c r="P37" s="74">
        <f>4800000/4</f>
        <v>1200000</v>
      </c>
      <c r="Q37" s="74">
        <f t="shared" ref="Q37:S37" si="22">4800000/4</f>
        <v>1200000</v>
      </c>
      <c r="R37" s="74">
        <f t="shared" si="22"/>
        <v>1200000</v>
      </c>
      <c r="S37" s="74">
        <f t="shared" si="22"/>
        <v>1200000</v>
      </c>
      <c r="T37" s="75"/>
      <c r="U37" s="113">
        <f t="shared" si="9"/>
        <v>4800000</v>
      </c>
      <c r="V37" s="64">
        <f t="shared" si="10"/>
        <v>0</v>
      </c>
    </row>
    <row r="38" spans="1:22" ht="39.6" x14ac:dyDescent="0.3">
      <c r="A38" s="2" t="s">
        <v>69</v>
      </c>
      <c r="B38" s="3" t="s">
        <v>70</v>
      </c>
      <c r="C38" s="64">
        <v>6500000</v>
      </c>
      <c r="D38" s="92"/>
      <c r="E38" s="93"/>
      <c r="F38" s="93"/>
      <c r="G38" s="94"/>
      <c r="H38" s="65">
        <f t="shared" si="7"/>
        <v>6500000</v>
      </c>
      <c r="I38" s="72"/>
      <c r="J38" s="73"/>
      <c r="K38" s="73"/>
      <c r="L38" s="63">
        <v>688921</v>
      </c>
      <c r="M38" s="63">
        <v>742641</v>
      </c>
      <c r="N38" s="73"/>
      <c r="O38" s="73"/>
      <c r="P38" s="74">
        <f>5068438/4</f>
        <v>1267109.5</v>
      </c>
      <c r="Q38" s="74">
        <f t="shared" ref="Q38:S38" si="23">5068438/4</f>
        <v>1267109.5</v>
      </c>
      <c r="R38" s="74">
        <f t="shared" si="23"/>
        <v>1267109.5</v>
      </c>
      <c r="S38" s="74">
        <f t="shared" si="23"/>
        <v>1267109.5</v>
      </c>
      <c r="T38" s="74"/>
      <c r="U38" s="113">
        <f t="shared" si="9"/>
        <v>6500000</v>
      </c>
      <c r="V38" s="64">
        <f t="shared" si="10"/>
        <v>0</v>
      </c>
    </row>
    <row r="39" spans="1:22" ht="39.6" x14ac:dyDescent="0.3">
      <c r="A39" s="2" t="s">
        <v>71</v>
      </c>
      <c r="B39" s="3" t="s">
        <v>72</v>
      </c>
      <c r="C39" s="64">
        <v>1000</v>
      </c>
      <c r="D39" s="92">
        <v>6546317</v>
      </c>
      <c r="E39" s="93"/>
      <c r="F39" s="93"/>
      <c r="G39" s="94"/>
      <c r="H39" s="65">
        <f t="shared" si="7"/>
        <v>6547317</v>
      </c>
      <c r="I39" s="72">
        <v>46945</v>
      </c>
      <c r="J39" s="73">
        <v>1308030</v>
      </c>
      <c r="K39" s="73">
        <v>765517</v>
      </c>
      <c r="L39" s="73"/>
      <c r="M39" s="73"/>
      <c r="N39" s="73"/>
      <c r="O39" s="73"/>
      <c r="P39" s="74">
        <f>4426825/5</f>
        <v>885365</v>
      </c>
      <c r="Q39" s="74">
        <f t="shared" ref="Q39:T39" si="24">4426825/5</f>
        <v>885365</v>
      </c>
      <c r="R39" s="74">
        <f t="shared" si="24"/>
        <v>885365</v>
      </c>
      <c r="S39" s="74">
        <f t="shared" si="24"/>
        <v>885365</v>
      </c>
      <c r="T39" s="74">
        <f t="shared" si="24"/>
        <v>885365</v>
      </c>
      <c r="U39" s="113">
        <f t="shared" si="9"/>
        <v>6547317</v>
      </c>
      <c r="V39" s="64">
        <f t="shared" si="10"/>
        <v>0</v>
      </c>
    </row>
    <row r="40" spans="1:22" ht="25.5" x14ac:dyDescent="0.25">
      <c r="A40" s="2" t="s">
        <v>73</v>
      </c>
      <c r="B40" s="3" t="s">
        <v>74</v>
      </c>
      <c r="C40" s="64">
        <v>1000</v>
      </c>
      <c r="D40" s="92"/>
      <c r="E40" s="93"/>
      <c r="F40" s="93"/>
      <c r="G40" s="94"/>
      <c r="H40" s="65">
        <f t="shared" si="7"/>
        <v>1000</v>
      </c>
      <c r="I40" s="72"/>
      <c r="J40" s="73"/>
      <c r="K40" s="73"/>
      <c r="L40" s="73"/>
      <c r="M40" s="73"/>
      <c r="N40" s="73"/>
      <c r="O40" s="73"/>
      <c r="P40" s="74">
        <f>1000/5</f>
        <v>200</v>
      </c>
      <c r="Q40" s="74">
        <f t="shared" ref="Q40:T40" si="25">1000/5</f>
        <v>200</v>
      </c>
      <c r="R40" s="74">
        <f t="shared" si="25"/>
        <v>200</v>
      </c>
      <c r="S40" s="74">
        <f t="shared" si="25"/>
        <v>200</v>
      </c>
      <c r="T40" s="74">
        <f t="shared" si="25"/>
        <v>200</v>
      </c>
      <c r="U40" s="113">
        <f t="shared" si="9"/>
        <v>1000</v>
      </c>
      <c r="V40" s="64">
        <f t="shared" si="10"/>
        <v>0</v>
      </c>
    </row>
    <row r="41" spans="1:22" ht="13.5" thickBot="1" x14ac:dyDescent="0.3">
      <c r="A41" s="6"/>
      <c r="B41" s="7"/>
      <c r="C41" s="76"/>
      <c r="D41" s="100"/>
      <c r="E41" s="79"/>
      <c r="F41" s="79"/>
      <c r="G41" s="101"/>
      <c r="H41" s="102"/>
      <c r="I41" s="81"/>
      <c r="J41" s="82"/>
      <c r="K41" s="82"/>
      <c r="L41" s="82"/>
      <c r="M41" s="82"/>
      <c r="N41" s="82"/>
      <c r="O41" s="82"/>
      <c r="P41" s="83"/>
      <c r="Q41" s="83"/>
      <c r="R41" s="83"/>
      <c r="S41" s="83"/>
      <c r="T41" s="84"/>
      <c r="U41" s="114"/>
      <c r="V41" s="76"/>
    </row>
    <row r="42" spans="1:22" ht="13.5" thickBot="1" x14ac:dyDescent="0.3">
      <c r="A42" s="135" t="s">
        <v>26</v>
      </c>
      <c r="B42" s="136"/>
      <c r="C42" s="85">
        <f t="shared" ref="C42:V42" si="26">SUM(C22:C41)</f>
        <v>112503000</v>
      </c>
      <c r="D42" s="104">
        <f t="shared" si="26"/>
        <v>51561812</v>
      </c>
      <c r="E42" s="105">
        <f t="shared" si="26"/>
        <v>0</v>
      </c>
      <c r="F42" s="105">
        <f t="shared" si="26"/>
        <v>0</v>
      </c>
      <c r="G42" s="106">
        <f t="shared" si="26"/>
        <v>0</v>
      </c>
      <c r="H42" s="85">
        <f t="shared" si="26"/>
        <v>164064812</v>
      </c>
      <c r="I42" s="86">
        <f t="shared" si="26"/>
        <v>193196</v>
      </c>
      <c r="J42" s="87">
        <f t="shared" si="26"/>
        <v>1422627</v>
      </c>
      <c r="K42" s="87">
        <f t="shared" si="26"/>
        <v>2865774</v>
      </c>
      <c r="L42" s="87">
        <f t="shared" si="26"/>
        <v>2771864</v>
      </c>
      <c r="M42" s="87">
        <f t="shared" si="26"/>
        <v>21740084</v>
      </c>
      <c r="N42" s="87">
        <f t="shared" si="26"/>
        <v>28872612.920000002</v>
      </c>
      <c r="O42" s="87">
        <f t="shared" si="26"/>
        <v>4488340</v>
      </c>
      <c r="P42" s="87">
        <f t="shared" si="26"/>
        <v>25112034.350000001</v>
      </c>
      <c r="Q42" s="87">
        <f t="shared" si="26"/>
        <v>25112034.350000001</v>
      </c>
      <c r="R42" s="87">
        <f t="shared" si="26"/>
        <v>25112034.350000001</v>
      </c>
      <c r="S42" s="87">
        <f t="shared" si="26"/>
        <v>25112034.350000001</v>
      </c>
      <c r="T42" s="107">
        <f t="shared" si="26"/>
        <v>1262176.6000000001</v>
      </c>
      <c r="U42" s="115">
        <f t="shared" si="26"/>
        <v>164064811.92000002</v>
      </c>
      <c r="V42" s="85">
        <f t="shared" si="26"/>
        <v>8.0000000074505806E-2</v>
      </c>
    </row>
  </sheetData>
  <mergeCells count="67">
    <mergeCell ref="A1:V1"/>
    <mergeCell ref="A2:V2"/>
    <mergeCell ref="A3:V3"/>
    <mergeCell ref="A5:V5"/>
    <mergeCell ref="A6:A7"/>
    <mergeCell ref="B6:B7"/>
    <mergeCell ref="C6:C7"/>
    <mergeCell ref="D6:G6"/>
    <mergeCell ref="H6:H7"/>
    <mergeCell ref="I6:I7"/>
    <mergeCell ref="V6:V7"/>
    <mergeCell ref="S6:S7"/>
    <mergeCell ref="T6:T7"/>
    <mergeCell ref="U6:U7"/>
    <mergeCell ref="D9:E9"/>
    <mergeCell ref="F9:G9"/>
    <mergeCell ref="P6:P7"/>
    <mergeCell ref="Q6:Q7"/>
    <mergeCell ref="R6:R7"/>
    <mergeCell ref="J6:J7"/>
    <mergeCell ref="K6:K7"/>
    <mergeCell ref="L6:L7"/>
    <mergeCell ref="M6:M7"/>
    <mergeCell ref="N6:N7"/>
    <mergeCell ref="O6:O7"/>
    <mergeCell ref="D7:E7"/>
    <mergeCell ref="F7:G7"/>
    <mergeCell ref="D8:E8"/>
    <mergeCell ref="F8:G8"/>
    <mergeCell ref="D10:E10"/>
    <mergeCell ref="F10:G10"/>
    <mergeCell ref="D11:E11"/>
    <mergeCell ref="F11:G11"/>
    <mergeCell ref="D12:E12"/>
    <mergeCell ref="F12:G12"/>
    <mergeCell ref="A17:B17"/>
    <mergeCell ref="D17:E17"/>
    <mergeCell ref="F17:G17"/>
    <mergeCell ref="A19:V19"/>
    <mergeCell ref="D13:E13"/>
    <mergeCell ref="F13:G13"/>
    <mergeCell ref="D14:E14"/>
    <mergeCell ref="F14:G14"/>
    <mergeCell ref="D15:E15"/>
    <mergeCell ref="F15:G15"/>
    <mergeCell ref="C20:C21"/>
    <mergeCell ref="D20:G20"/>
    <mergeCell ref="H20:H21"/>
    <mergeCell ref="I20:I21"/>
    <mergeCell ref="D16:E16"/>
    <mergeCell ref="F16:G16"/>
    <mergeCell ref="V20:V21"/>
    <mergeCell ref="A42:B42"/>
    <mergeCell ref="P20:P21"/>
    <mergeCell ref="Q20:Q21"/>
    <mergeCell ref="R20:R21"/>
    <mergeCell ref="S20:S21"/>
    <mergeCell ref="T20:T21"/>
    <mergeCell ref="U20:U21"/>
    <mergeCell ref="J20:J21"/>
    <mergeCell ref="K20:K21"/>
    <mergeCell ref="L20:L21"/>
    <mergeCell ref="M20:M21"/>
    <mergeCell ref="N20:N21"/>
    <mergeCell ref="O20:O21"/>
    <mergeCell ref="A20:A21"/>
    <mergeCell ref="B20:B21"/>
  </mergeCells>
  <pageMargins left="0.39370078740157483" right="0.39370078740157483" top="0.39370078740157483" bottom="0.59055118110236227" header="0.39370078740157483" footer="0.39370078740157483"/>
  <pageSetup paperSize="258" scale="73" orientation="landscape" horizontalDpi="0" verticalDpi="0" r:id="rId1"/>
  <headerFooter>
    <oddFooter>&amp;L&amp;F&amp;C&amp;A&amp;R&amp;P de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workbookViewId="0">
      <selection sqref="A1:XFD1048576"/>
    </sheetView>
  </sheetViews>
  <sheetFormatPr baseColWidth="10" defaultColWidth="11.42578125" defaultRowHeight="12.75" x14ac:dyDescent="0.25"/>
  <cols>
    <col min="1" max="1" width="7.7109375" style="1" customWidth="1"/>
    <col min="2" max="2" width="14.7109375" style="1" customWidth="1"/>
    <col min="3" max="3" width="11.7109375" style="109" customWidth="1"/>
    <col min="4" max="4" width="10.7109375" style="109" customWidth="1"/>
    <col min="5" max="7" width="3.7109375" style="109" customWidth="1"/>
    <col min="8" max="8" width="11.7109375" style="109" customWidth="1"/>
    <col min="9" max="10" width="10.7109375" style="109" customWidth="1"/>
    <col min="11" max="12" width="9.7109375" style="109" customWidth="1"/>
    <col min="13" max="14" width="10.7109375" style="109" customWidth="1"/>
    <col min="15" max="16" width="9.7109375" style="109" customWidth="1"/>
    <col min="17" max="19" width="10.7109375" style="109" customWidth="1"/>
    <col min="20" max="20" width="9.7109375" style="109" customWidth="1"/>
    <col min="21" max="21" width="11.7109375" style="109" customWidth="1"/>
    <col min="22" max="22" width="9.7109375" style="109" customWidth="1"/>
    <col min="23" max="23" width="11.5703125" style="1" bestFit="1" customWidth="1"/>
    <col min="24" max="16384" width="11.42578125" style="1"/>
  </cols>
  <sheetData>
    <row r="1" spans="1:22" ht="13.15" x14ac:dyDescent="0.3">
      <c r="A1" s="124" t="s">
        <v>27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</row>
    <row r="2" spans="1:22" ht="13.15" x14ac:dyDescent="0.3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22" ht="13.15" x14ac:dyDescent="0.3">
      <c r="A3" s="124" t="s">
        <v>28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</row>
    <row r="5" spans="1:22" ht="13.9" thickBot="1" x14ac:dyDescent="0.35">
      <c r="A5" s="124" t="s">
        <v>1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</row>
    <row r="6" spans="1:22" x14ac:dyDescent="0.25">
      <c r="A6" s="125" t="s">
        <v>2</v>
      </c>
      <c r="B6" s="127" t="s">
        <v>3</v>
      </c>
      <c r="C6" s="154" t="s">
        <v>4</v>
      </c>
      <c r="D6" s="162" t="s">
        <v>5</v>
      </c>
      <c r="E6" s="163"/>
      <c r="F6" s="163"/>
      <c r="G6" s="164"/>
      <c r="H6" s="154" t="s">
        <v>8</v>
      </c>
      <c r="I6" s="165" t="s">
        <v>9</v>
      </c>
      <c r="J6" s="156" t="s">
        <v>10</v>
      </c>
      <c r="K6" s="156" t="s">
        <v>11</v>
      </c>
      <c r="L6" s="156" t="s">
        <v>12</v>
      </c>
      <c r="M6" s="156" t="s">
        <v>13</v>
      </c>
      <c r="N6" s="156" t="s">
        <v>14</v>
      </c>
      <c r="O6" s="156" t="s">
        <v>15</v>
      </c>
      <c r="P6" s="156" t="s">
        <v>16</v>
      </c>
      <c r="Q6" s="156" t="s">
        <v>17</v>
      </c>
      <c r="R6" s="156" t="s">
        <v>18</v>
      </c>
      <c r="S6" s="156" t="s">
        <v>19</v>
      </c>
      <c r="T6" s="158" t="s">
        <v>20</v>
      </c>
      <c r="U6" s="154" t="s">
        <v>21</v>
      </c>
      <c r="V6" s="154" t="s">
        <v>22</v>
      </c>
    </row>
    <row r="7" spans="1:22" ht="13.5" thickBot="1" x14ac:dyDescent="0.3">
      <c r="A7" s="126"/>
      <c r="B7" s="128"/>
      <c r="C7" s="155"/>
      <c r="D7" s="175" t="s">
        <v>6</v>
      </c>
      <c r="E7" s="176"/>
      <c r="F7" s="176" t="s">
        <v>7</v>
      </c>
      <c r="G7" s="177"/>
      <c r="H7" s="155"/>
      <c r="I7" s="186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7"/>
      <c r="U7" s="155"/>
      <c r="V7" s="155"/>
    </row>
    <row r="8" spans="1:22" ht="118.9" x14ac:dyDescent="0.3">
      <c r="A8" s="2" t="s">
        <v>29</v>
      </c>
      <c r="B8" s="3" t="s">
        <v>30</v>
      </c>
      <c r="C8" s="64">
        <v>3000000</v>
      </c>
      <c r="D8" s="178"/>
      <c r="E8" s="179"/>
      <c r="F8" s="179"/>
      <c r="G8" s="180"/>
      <c r="H8" s="65">
        <f>C8+D8-F8</f>
        <v>3000000</v>
      </c>
      <c r="I8" s="96"/>
      <c r="J8" s="97">
        <v>0</v>
      </c>
      <c r="K8" s="97">
        <v>0</v>
      </c>
      <c r="L8" s="97"/>
      <c r="M8" s="110">
        <v>810000</v>
      </c>
      <c r="N8" s="110">
        <v>3240000</v>
      </c>
      <c r="O8" s="97"/>
      <c r="P8" s="63">
        <v>810000</v>
      </c>
      <c r="Q8" s="93"/>
      <c r="R8" s="93"/>
      <c r="S8" s="93"/>
      <c r="T8" s="93"/>
      <c r="U8" s="64">
        <f>SUM(I8:T8)</f>
        <v>4860000</v>
      </c>
      <c r="V8" s="64">
        <f>H8-U8</f>
        <v>-1860000</v>
      </c>
    </row>
    <row r="9" spans="1:22" ht="52.9" x14ac:dyDescent="0.3">
      <c r="A9" s="4" t="s">
        <v>31</v>
      </c>
      <c r="B9" s="5" t="s">
        <v>32</v>
      </c>
      <c r="C9" s="70">
        <v>3300000</v>
      </c>
      <c r="D9" s="172"/>
      <c r="E9" s="173"/>
      <c r="F9" s="173"/>
      <c r="G9" s="174"/>
      <c r="H9" s="71">
        <f t="shared" ref="H9:H16" si="0">C9+D9-F9</f>
        <v>3300000</v>
      </c>
      <c r="I9" s="72">
        <v>407000</v>
      </c>
      <c r="J9" s="73">
        <v>204500</v>
      </c>
      <c r="K9" s="73">
        <v>139000</v>
      </c>
      <c r="L9" s="73">
        <v>42000</v>
      </c>
      <c r="M9" s="63">
        <v>252000</v>
      </c>
      <c r="N9" s="63">
        <v>84000</v>
      </c>
      <c r="O9" s="73">
        <v>91000</v>
      </c>
      <c r="P9" s="63">
        <v>105000</v>
      </c>
      <c r="Q9" s="74">
        <f>1975500/4</f>
        <v>493875</v>
      </c>
      <c r="R9" s="74">
        <f t="shared" ref="R9:T9" si="1">1975500/4</f>
        <v>493875</v>
      </c>
      <c r="S9" s="74">
        <f t="shared" si="1"/>
        <v>493875</v>
      </c>
      <c r="T9" s="74">
        <f t="shared" si="1"/>
        <v>493875</v>
      </c>
      <c r="U9" s="70">
        <f t="shared" ref="U9:U16" si="2">SUM(I9:T9)</f>
        <v>3300000</v>
      </c>
      <c r="V9" s="70">
        <f t="shared" ref="V9:V16" si="3">H9-U9</f>
        <v>0</v>
      </c>
    </row>
    <row r="10" spans="1:22" ht="39.6" x14ac:dyDescent="0.3">
      <c r="A10" s="4" t="s">
        <v>33</v>
      </c>
      <c r="B10" s="5" t="s">
        <v>34</v>
      </c>
      <c r="C10" s="70">
        <v>78000000</v>
      </c>
      <c r="D10" s="172"/>
      <c r="E10" s="173"/>
      <c r="F10" s="173"/>
      <c r="G10" s="174"/>
      <c r="H10" s="71">
        <f t="shared" si="0"/>
        <v>78000000</v>
      </c>
      <c r="I10" s="72"/>
      <c r="J10" s="73">
        <v>62478528</v>
      </c>
      <c r="K10" s="73"/>
      <c r="L10" s="73"/>
      <c r="M10" s="73"/>
      <c r="N10" s="73"/>
      <c r="O10" s="73"/>
      <c r="P10" s="73"/>
      <c r="Q10" s="74">
        <v>15521472</v>
      </c>
      <c r="R10" s="74"/>
      <c r="S10" s="74"/>
      <c r="T10" s="75"/>
      <c r="U10" s="70">
        <f t="shared" si="2"/>
        <v>78000000</v>
      </c>
      <c r="V10" s="70">
        <f t="shared" si="3"/>
        <v>0</v>
      </c>
    </row>
    <row r="11" spans="1:22" ht="26.45" x14ac:dyDescent="0.3">
      <c r="A11" s="4" t="s">
        <v>35</v>
      </c>
      <c r="B11" s="5" t="s">
        <v>36</v>
      </c>
      <c r="C11" s="70">
        <v>28000000</v>
      </c>
      <c r="D11" s="172"/>
      <c r="E11" s="173"/>
      <c r="F11" s="173"/>
      <c r="G11" s="174"/>
      <c r="H11" s="71">
        <f t="shared" si="0"/>
        <v>28000000</v>
      </c>
      <c r="I11" s="72"/>
      <c r="J11" s="73"/>
      <c r="K11" s="73"/>
      <c r="L11" s="73"/>
      <c r="M11" s="73"/>
      <c r="N11" s="73"/>
      <c r="O11" s="73"/>
      <c r="P11" s="73"/>
      <c r="Q11" s="74">
        <v>28000000</v>
      </c>
      <c r="R11" s="74"/>
      <c r="S11" s="74"/>
      <c r="T11" s="75"/>
      <c r="U11" s="70">
        <f t="shared" si="2"/>
        <v>28000000</v>
      </c>
      <c r="V11" s="70">
        <f t="shared" si="3"/>
        <v>0</v>
      </c>
    </row>
    <row r="12" spans="1:22" ht="26.45" x14ac:dyDescent="0.3">
      <c r="A12" s="4" t="s">
        <v>37</v>
      </c>
      <c r="B12" s="5" t="s">
        <v>38</v>
      </c>
      <c r="C12" s="70">
        <v>200000</v>
      </c>
      <c r="D12" s="172"/>
      <c r="E12" s="173"/>
      <c r="F12" s="173"/>
      <c r="G12" s="174"/>
      <c r="H12" s="71">
        <f t="shared" si="0"/>
        <v>200000</v>
      </c>
      <c r="I12" s="72">
        <v>1100</v>
      </c>
      <c r="J12" s="73">
        <v>1787</v>
      </c>
      <c r="K12" s="73">
        <v>6206</v>
      </c>
      <c r="L12" s="63">
        <v>5859</v>
      </c>
      <c r="M12" s="63">
        <v>5872</v>
      </c>
      <c r="N12" s="63">
        <v>5641</v>
      </c>
      <c r="O12" s="73">
        <v>5794</v>
      </c>
      <c r="P12" s="63">
        <v>5254</v>
      </c>
      <c r="Q12" s="74">
        <f>162487/4</f>
        <v>40621.75</v>
      </c>
      <c r="R12" s="74">
        <f t="shared" ref="R12:T12" si="4">162487/4</f>
        <v>40621.75</v>
      </c>
      <c r="S12" s="74">
        <f t="shared" si="4"/>
        <v>40621.75</v>
      </c>
      <c r="T12" s="74">
        <f t="shared" si="4"/>
        <v>40621.75</v>
      </c>
      <c r="U12" s="70">
        <f t="shared" si="2"/>
        <v>200000</v>
      </c>
      <c r="V12" s="70">
        <f t="shared" si="3"/>
        <v>0</v>
      </c>
    </row>
    <row r="13" spans="1:22" ht="25.5" x14ac:dyDescent="0.25">
      <c r="A13" s="6" t="s">
        <v>39</v>
      </c>
      <c r="B13" s="7" t="s">
        <v>40</v>
      </c>
      <c r="C13" s="76">
        <v>1000</v>
      </c>
      <c r="D13" s="172">
        <v>1075935</v>
      </c>
      <c r="E13" s="173"/>
      <c r="F13" s="173"/>
      <c r="G13" s="174"/>
      <c r="H13" s="71">
        <f t="shared" si="0"/>
        <v>1076935</v>
      </c>
      <c r="I13" s="77">
        <v>1075935</v>
      </c>
      <c r="J13" s="78"/>
      <c r="K13" s="78"/>
      <c r="L13" s="78"/>
      <c r="M13" s="78"/>
      <c r="N13" s="78"/>
      <c r="O13" s="78"/>
      <c r="P13" s="78"/>
      <c r="Q13" s="79">
        <v>1000</v>
      </c>
      <c r="R13" s="79"/>
      <c r="S13" s="79"/>
      <c r="T13" s="80"/>
      <c r="U13" s="70">
        <f t="shared" si="2"/>
        <v>1076935</v>
      </c>
      <c r="V13" s="70">
        <f t="shared" si="3"/>
        <v>0</v>
      </c>
    </row>
    <row r="14" spans="1:22" ht="25.5" x14ac:dyDescent="0.25">
      <c r="A14" s="6" t="s">
        <v>41</v>
      </c>
      <c r="B14" s="7" t="s">
        <v>42</v>
      </c>
      <c r="C14" s="76">
        <v>1000</v>
      </c>
      <c r="D14" s="172">
        <v>30546317</v>
      </c>
      <c r="E14" s="173"/>
      <c r="F14" s="173"/>
      <c r="G14" s="174"/>
      <c r="H14" s="71">
        <f t="shared" si="0"/>
        <v>30547317</v>
      </c>
      <c r="I14" s="77">
        <v>30546317</v>
      </c>
      <c r="J14" s="78"/>
      <c r="K14" s="78"/>
      <c r="L14" s="78"/>
      <c r="M14" s="78"/>
      <c r="N14" s="78"/>
      <c r="O14" s="78"/>
      <c r="P14" s="78"/>
      <c r="Q14" s="79">
        <v>1000</v>
      </c>
      <c r="R14" s="79"/>
      <c r="S14" s="79"/>
      <c r="T14" s="80"/>
      <c r="U14" s="70">
        <f t="shared" si="2"/>
        <v>30547317</v>
      </c>
      <c r="V14" s="70">
        <f t="shared" si="3"/>
        <v>0</v>
      </c>
    </row>
    <row r="15" spans="1:22" ht="25.5" x14ac:dyDescent="0.25">
      <c r="A15" s="6" t="s">
        <v>43</v>
      </c>
      <c r="B15" s="7" t="s">
        <v>44</v>
      </c>
      <c r="C15" s="76">
        <v>1000</v>
      </c>
      <c r="D15" s="172">
        <v>19939560</v>
      </c>
      <c r="E15" s="173"/>
      <c r="F15" s="173"/>
      <c r="G15" s="174"/>
      <c r="H15" s="71">
        <f t="shared" si="0"/>
        <v>19940560</v>
      </c>
      <c r="I15" s="77">
        <v>19939560</v>
      </c>
      <c r="J15" s="78"/>
      <c r="K15" s="78"/>
      <c r="L15" s="78"/>
      <c r="M15" s="78"/>
      <c r="N15" s="78"/>
      <c r="O15" s="78"/>
      <c r="P15" s="78"/>
      <c r="Q15" s="79">
        <v>1000</v>
      </c>
      <c r="R15" s="79"/>
      <c r="S15" s="79"/>
      <c r="T15" s="80"/>
      <c r="U15" s="70">
        <f t="shared" si="2"/>
        <v>19940560</v>
      </c>
      <c r="V15" s="70">
        <f t="shared" si="3"/>
        <v>0</v>
      </c>
    </row>
    <row r="16" spans="1:22" ht="13.5" thickBot="1" x14ac:dyDescent="0.3">
      <c r="A16" s="6"/>
      <c r="B16" s="7"/>
      <c r="C16" s="76"/>
      <c r="D16" s="167"/>
      <c r="E16" s="168"/>
      <c r="F16" s="168"/>
      <c r="G16" s="169"/>
      <c r="H16" s="71">
        <f t="shared" si="0"/>
        <v>0</v>
      </c>
      <c r="I16" s="81"/>
      <c r="J16" s="82"/>
      <c r="K16" s="82"/>
      <c r="L16" s="82"/>
      <c r="M16" s="82"/>
      <c r="N16" s="82"/>
      <c r="O16" s="82"/>
      <c r="P16" s="82"/>
      <c r="Q16" s="83"/>
      <c r="R16" s="83"/>
      <c r="S16" s="83"/>
      <c r="T16" s="84"/>
      <c r="U16" s="70">
        <f t="shared" si="2"/>
        <v>0</v>
      </c>
      <c r="V16" s="70">
        <f t="shared" si="3"/>
        <v>0</v>
      </c>
    </row>
    <row r="17" spans="1:22" ht="13.5" thickBot="1" x14ac:dyDescent="0.3">
      <c r="A17" s="135" t="s">
        <v>26</v>
      </c>
      <c r="B17" s="136"/>
      <c r="C17" s="85">
        <f>SUM(C8:C16)</f>
        <v>112503000</v>
      </c>
      <c r="D17" s="170">
        <f>SUM(D8:E16)</f>
        <v>51561812</v>
      </c>
      <c r="E17" s="171"/>
      <c r="F17" s="170">
        <f>SUM(F8:G16)</f>
        <v>0</v>
      </c>
      <c r="G17" s="171"/>
      <c r="H17" s="85">
        <f t="shared" ref="H17:V17" si="5">SUM(H8:H16)</f>
        <v>164064812</v>
      </c>
      <c r="I17" s="86">
        <f t="shared" si="5"/>
        <v>51969912</v>
      </c>
      <c r="J17" s="87">
        <f t="shared" si="5"/>
        <v>62684815</v>
      </c>
      <c r="K17" s="87">
        <f t="shared" si="5"/>
        <v>145206</v>
      </c>
      <c r="L17" s="87">
        <f t="shared" si="5"/>
        <v>47859</v>
      </c>
      <c r="M17" s="87">
        <f t="shared" si="5"/>
        <v>1067872</v>
      </c>
      <c r="N17" s="111">
        <f t="shared" si="5"/>
        <v>3329641</v>
      </c>
      <c r="O17" s="87">
        <f t="shared" si="5"/>
        <v>96794</v>
      </c>
      <c r="P17" s="87">
        <f t="shared" si="5"/>
        <v>920254</v>
      </c>
      <c r="Q17" s="87">
        <f t="shared" si="5"/>
        <v>44058968.75</v>
      </c>
      <c r="R17" s="87">
        <f t="shared" si="5"/>
        <v>534496.75</v>
      </c>
      <c r="S17" s="87">
        <f t="shared" si="5"/>
        <v>534496.75</v>
      </c>
      <c r="T17" s="88">
        <f t="shared" si="5"/>
        <v>534496.75</v>
      </c>
      <c r="U17" s="85">
        <f t="shared" si="5"/>
        <v>165924812</v>
      </c>
      <c r="V17" s="85">
        <f t="shared" si="5"/>
        <v>-1860000</v>
      </c>
    </row>
    <row r="19" spans="1:22" ht="13.5" thickBot="1" x14ac:dyDescent="0.3">
      <c r="A19" s="124" t="s">
        <v>23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</row>
    <row r="20" spans="1:22" x14ac:dyDescent="0.25">
      <c r="A20" s="133" t="s">
        <v>2</v>
      </c>
      <c r="B20" s="127" t="s">
        <v>3</v>
      </c>
      <c r="C20" s="154" t="s">
        <v>4</v>
      </c>
      <c r="D20" s="162" t="s">
        <v>5</v>
      </c>
      <c r="E20" s="163"/>
      <c r="F20" s="163"/>
      <c r="G20" s="164"/>
      <c r="H20" s="154" t="s">
        <v>8</v>
      </c>
      <c r="I20" s="165" t="s">
        <v>9</v>
      </c>
      <c r="J20" s="156" t="s">
        <v>10</v>
      </c>
      <c r="K20" s="156" t="s">
        <v>11</v>
      </c>
      <c r="L20" s="156" t="s">
        <v>12</v>
      </c>
      <c r="M20" s="156" t="s">
        <v>13</v>
      </c>
      <c r="N20" s="156" t="s">
        <v>14</v>
      </c>
      <c r="O20" s="156" t="s">
        <v>15</v>
      </c>
      <c r="P20" s="156" t="s">
        <v>16</v>
      </c>
      <c r="Q20" s="156" t="s">
        <v>17</v>
      </c>
      <c r="R20" s="156" t="s">
        <v>18</v>
      </c>
      <c r="S20" s="156" t="s">
        <v>19</v>
      </c>
      <c r="T20" s="158" t="s">
        <v>20</v>
      </c>
      <c r="U20" s="183" t="s">
        <v>21</v>
      </c>
      <c r="V20" s="154" t="s">
        <v>22</v>
      </c>
    </row>
    <row r="21" spans="1:22" ht="25.5" customHeight="1" thickBot="1" x14ac:dyDescent="0.3">
      <c r="A21" s="149"/>
      <c r="B21" s="128"/>
      <c r="C21" s="155"/>
      <c r="D21" s="89" t="s">
        <v>6</v>
      </c>
      <c r="E21" s="90" t="s">
        <v>7</v>
      </c>
      <c r="F21" s="90" t="s">
        <v>24</v>
      </c>
      <c r="G21" s="91" t="s">
        <v>25</v>
      </c>
      <c r="H21" s="155"/>
      <c r="I21" s="166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9"/>
      <c r="U21" s="184"/>
      <c r="V21" s="155"/>
    </row>
    <row r="22" spans="1:22" ht="38.25" x14ac:dyDescent="0.25">
      <c r="A22" s="2" t="s">
        <v>75</v>
      </c>
      <c r="B22" s="3" t="s">
        <v>76</v>
      </c>
      <c r="C22" s="64">
        <v>0</v>
      </c>
      <c r="D22" s="92">
        <v>19939560</v>
      </c>
      <c r="E22" s="93"/>
      <c r="F22" s="93"/>
      <c r="G22" s="94"/>
      <c r="H22" s="65">
        <f>C22+D22-E22+F22-G22</f>
        <v>19939560</v>
      </c>
      <c r="I22" s="66"/>
      <c r="J22" s="67"/>
      <c r="K22" s="67"/>
      <c r="L22" s="67"/>
      <c r="M22" s="63">
        <v>18914500</v>
      </c>
      <c r="N22" s="67"/>
      <c r="O22" s="67"/>
      <c r="P22" s="67"/>
      <c r="Q22" s="68">
        <f>1025060/3</f>
        <v>341686.66666666669</v>
      </c>
      <c r="R22" s="68">
        <f t="shared" ref="R22:S22" si="6">1025060/3</f>
        <v>341686.66666666669</v>
      </c>
      <c r="S22" s="68">
        <f t="shared" si="6"/>
        <v>341686.66666666669</v>
      </c>
      <c r="T22" s="69"/>
      <c r="U22" s="112">
        <f>SUM(I22:T22)</f>
        <v>19939560.000000004</v>
      </c>
      <c r="V22" s="64">
        <f>H22-U22</f>
        <v>0</v>
      </c>
    </row>
    <row r="23" spans="1:22" ht="38.25" x14ac:dyDescent="0.25">
      <c r="A23" s="2" t="s">
        <v>45</v>
      </c>
      <c r="B23" s="3" t="s">
        <v>46</v>
      </c>
      <c r="C23" s="64">
        <v>18500000</v>
      </c>
      <c r="D23" s="92"/>
      <c r="E23" s="93"/>
      <c r="F23" s="93"/>
      <c r="G23" s="94"/>
      <c r="H23" s="65">
        <f t="shared" ref="H23:H40" si="7">C23+D23-E23+F23-G23</f>
        <v>18500000</v>
      </c>
      <c r="I23" s="96"/>
      <c r="J23" s="97"/>
      <c r="K23" s="97"/>
      <c r="L23" s="97"/>
      <c r="M23" s="97"/>
      <c r="N23" s="97"/>
      <c r="O23" s="97"/>
      <c r="P23" s="97"/>
      <c r="Q23" s="93">
        <f>18500000/3</f>
        <v>6166666.666666667</v>
      </c>
      <c r="R23" s="93">
        <f t="shared" ref="R23:S23" si="8">18500000/3</f>
        <v>6166666.666666667</v>
      </c>
      <c r="S23" s="93">
        <f t="shared" si="8"/>
        <v>6166666.666666667</v>
      </c>
      <c r="T23" s="98"/>
      <c r="U23" s="113">
        <f t="shared" ref="U23:U40" si="9">SUM(I23:T23)</f>
        <v>18500000</v>
      </c>
      <c r="V23" s="64">
        <f t="shared" ref="V23:V40" si="10">H23-U23</f>
        <v>0</v>
      </c>
    </row>
    <row r="24" spans="1:22" ht="51" x14ac:dyDescent="0.25">
      <c r="A24" s="2" t="s">
        <v>77</v>
      </c>
      <c r="B24" s="3" t="s">
        <v>78</v>
      </c>
      <c r="C24" s="64">
        <v>0</v>
      </c>
      <c r="D24" s="92">
        <v>16000000</v>
      </c>
      <c r="E24" s="93"/>
      <c r="F24" s="93"/>
      <c r="G24" s="94"/>
      <c r="H24" s="65">
        <f t="shared" si="7"/>
        <v>16000000</v>
      </c>
      <c r="I24" s="96"/>
      <c r="J24" s="97"/>
      <c r="K24" s="97"/>
      <c r="L24" s="97"/>
      <c r="M24" s="97"/>
      <c r="N24" s="63">
        <v>13781100</v>
      </c>
      <c r="O24" s="97"/>
      <c r="P24" s="97"/>
      <c r="Q24" s="93">
        <f>2218900/3</f>
        <v>739633.33333333337</v>
      </c>
      <c r="R24" s="93">
        <f t="shared" ref="R24:S24" si="11">2218900/3</f>
        <v>739633.33333333337</v>
      </c>
      <c r="S24" s="93">
        <f t="shared" si="11"/>
        <v>739633.33333333337</v>
      </c>
      <c r="T24" s="93"/>
      <c r="U24" s="113">
        <f t="shared" si="9"/>
        <v>16000000.000000002</v>
      </c>
      <c r="V24" s="64">
        <f t="shared" si="10"/>
        <v>0</v>
      </c>
    </row>
    <row r="25" spans="1:22" ht="25.5" x14ac:dyDescent="0.25">
      <c r="A25" s="2" t="s">
        <v>47</v>
      </c>
      <c r="B25" s="3" t="s">
        <v>48</v>
      </c>
      <c r="C25" s="64">
        <v>14000000</v>
      </c>
      <c r="D25" s="92"/>
      <c r="E25" s="93"/>
      <c r="F25" s="93"/>
      <c r="G25" s="94"/>
      <c r="H25" s="65">
        <f t="shared" si="7"/>
        <v>14000000</v>
      </c>
      <c r="I25" s="72"/>
      <c r="J25" s="73"/>
      <c r="K25" s="73"/>
      <c r="L25" s="73"/>
      <c r="M25" s="73"/>
      <c r="N25" s="63">
        <v>13008569.92</v>
      </c>
      <c r="O25" s="73"/>
      <c r="P25" s="73"/>
      <c r="Q25" s="74">
        <f>991430/3</f>
        <v>330476.66666666669</v>
      </c>
      <c r="R25" s="74">
        <f t="shared" ref="R25:S25" si="12">991430/3</f>
        <v>330476.66666666669</v>
      </c>
      <c r="S25" s="74">
        <f t="shared" si="12"/>
        <v>330476.66666666669</v>
      </c>
      <c r="T25" s="75"/>
      <c r="U25" s="113">
        <f t="shared" si="9"/>
        <v>13999999.919999998</v>
      </c>
      <c r="V25" s="64">
        <f t="shared" si="10"/>
        <v>8.0000001937150955E-2</v>
      </c>
    </row>
    <row r="26" spans="1:22" ht="38.25" x14ac:dyDescent="0.25">
      <c r="A26" s="2" t="s">
        <v>49</v>
      </c>
      <c r="B26" s="3" t="s">
        <v>50</v>
      </c>
      <c r="C26" s="64">
        <v>1000</v>
      </c>
      <c r="D26" s="92"/>
      <c r="E26" s="93"/>
      <c r="F26" s="93"/>
      <c r="G26" s="94"/>
      <c r="H26" s="65">
        <f t="shared" si="7"/>
        <v>1000</v>
      </c>
      <c r="I26" s="72"/>
      <c r="J26" s="73"/>
      <c r="K26" s="73"/>
      <c r="L26" s="73"/>
      <c r="M26" s="73"/>
      <c r="N26" s="73"/>
      <c r="O26" s="73"/>
      <c r="P26" s="73"/>
      <c r="Q26" s="74">
        <f>1000/3</f>
        <v>333.33333333333331</v>
      </c>
      <c r="R26" s="74">
        <f t="shared" ref="R26:S26" si="13">1000/3</f>
        <v>333.33333333333331</v>
      </c>
      <c r="S26" s="74">
        <f t="shared" si="13"/>
        <v>333.33333333333331</v>
      </c>
      <c r="T26" s="75"/>
      <c r="U26" s="113">
        <f t="shared" si="9"/>
        <v>1000</v>
      </c>
      <c r="V26" s="64">
        <f t="shared" si="10"/>
        <v>0</v>
      </c>
    </row>
    <row r="27" spans="1:22" ht="25.5" x14ac:dyDescent="0.25">
      <c r="A27" s="2" t="s">
        <v>51</v>
      </c>
      <c r="B27" s="3" t="s">
        <v>52</v>
      </c>
      <c r="C27" s="64">
        <v>20000000</v>
      </c>
      <c r="D27" s="92"/>
      <c r="E27" s="93"/>
      <c r="F27" s="93"/>
      <c r="G27" s="94"/>
      <c r="H27" s="65">
        <f t="shared" si="7"/>
        <v>20000000</v>
      </c>
      <c r="I27" s="72"/>
      <c r="J27" s="73"/>
      <c r="K27" s="73"/>
      <c r="L27" s="73"/>
      <c r="M27" s="73"/>
      <c r="N27" s="73"/>
      <c r="O27" s="73"/>
      <c r="P27" s="73"/>
      <c r="Q27" s="74">
        <f>20000000/3</f>
        <v>6666666.666666667</v>
      </c>
      <c r="R27" s="74">
        <f t="shared" ref="R27:S27" si="14">20000000/3</f>
        <v>6666666.666666667</v>
      </c>
      <c r="S27" s="74">
        <f t="shared" si="14"/>
        <v>6666666.666666667</v>
      </c>
      <c r="T27" s="75"/>
      <c r="U27" s="113">
        <f t="shared" si="9"/>
        <v>20000000</v>
      </c>
      <c r="V27" s="64">
        <f t="shared" si="10"/>
        <v>0</v>
      </c>
    </row>
    <row r="28" spans="1:22" ht="25.5" x14ac:dyDescent="0.25">
      <c r="A28" s="2" t="s">
        <v>53</v>
      </c>
      <c r="B28" s="3" t="s">
        <v>54</v>
      </c>
      <c r="C28" s="64">
        <v>2300000</v>
      </c>
      <c r="D28" s="92"/>
      <c r="E28" s="93"/>
      <c r="F28" s="93"/>
      <c r="G28" s="94"/>
      <c r="H28" s="65">
        <f t="shared" si="7"/>
        <v>2300000</v>
      </c>
      <c r="I28" s="72"/>
      <c r="J28" s="73"/>
      <c r="K28" s="73"/>
      <c r="L28" s="73"/>
      <c r="M28" s="73"/>
      <c r="N28" s="73"/>
      <c r="O28" s="73"/>
      <c r="P28" s="73"/>
      <c r="Q28" s="74">
        <f>2300000/3</f>
        <v>766666.66666666663</v>
      </c>
      <c r="R28" s="74">
        <f t="shared" ref="R28:S28" si="15">2300000/3</f>
        <v>766666.66666666663</v>
      </c>
      <c r="S28" s="74">
        <f t="shared" si="15"/>
        <v>766666.66666666663</v>
      </c>
      <c r="T28" s="75"/>
      <c r="U28" s="113">
        <f t="shared" si="9"/>
        <v>2300000</v>
      </c>
      <c r="V28" s="64">
        <f t="shared" si="10"/>
        <v>0</v>
      </c>
    </row>
    <row r="29" spans="1:22" ht="25.5" x14ac:dyDescent="0.25">
      <c r="A29" s="2" t="s">
        <v>55</v>
      </c>
      <c r="B29" s="3" t="s">
        <v>56</v>
      </c>
      <c r="C29" s="64">
        <v>200000</v>
      </c>
      <c r="D29" s="92"/>
      <c r="E29" s="93"/>
      <c r="F29" s="93"/>
      <c r="G29" s="94"/>
      <c r="H29" s="65">
        <f t="shared" si="7"/>
        <v>200000</v>
      </c>
      <c r="I29" s="72"/>
      <c r="J29" s="73"/>
      <c r="K29" s="73"/>
      <c r="L29" s="73"/>
      <c r="M29" s="73"/>
      <c r="N29" s="73"/>
      <c r="O29" s="73"/>
      <c r="P29" s="73"/>
      <c r="Q29" s="74">
        <f>200000/3</f>
        <v>66666.666666666672</v>
      </c>
      <c r="R29" s="74">
        <f t="shared" ref="R29:S29" si="16">200000/3</f>
        <v>66666.666666666672</v>
      </c>
      <c r="S29" s="74">
        <f t="shared" si="16"/>
        <v>66666.666666666672</v>
      </c>
      <c r="T29" s="75"/>
      <c r="U29" s="113">
        <f t="shared" si="9"/>
        <v>200000</v>
      </c>
      <c r="V29" s="64">
        <f t="shared" si="10"/>
        <v>0</v>
      </c>
    </row>
    <row r="30" spans="1:22" ht="38.25" x14ac:dyDescent="0.25">
      <c r="A30" s="2" t="s">
        <v>57</v>
      </c>
      <c r="B30" s="3" t="s">
        <v>58</v>
      </c>
      <c r="C30" s="64">
        <v>1500000</v>
      </c>
      <c r="D30" s="92"/>
      <c r="E30" s="93"/>
      <c r="F30" s="93"/>
      <c r="G30" s="94"/>
      <c r="H30" s="65">
        <f t="shared" si="7"/>
        <v>1500000</v>
      </c>
      <c r="I30" s="72">
        <v>146251</v>
      </c>
      <c r="J30" s="73">
        <v>114597</v>
      </c>
      <c r="K30" s="73">
        <v>100257</v>
      </c>
      <c r="L30" s="73"/>
      <c r="M30" s="63">
        <v>82943</v>
      </c>
      <c r="N30" s="63">
        <v>82943</v>
      </c>
      <c r="O30" s="73">
        <v>82943</v>
      </c>
      <c r="P30" s="63">
        <v>82943</v>
      </c>
      <c r="Q30" s="74">
        <f>807123/4</f>
        <v>201780.75</v>
      </c>
      <c r="R30" s="74">
        <f t="shared" ref="R30:T30" si="17">807123/4</f>
        <v>201780.75</v>
      </c>
      <c r="S30" s="74">
        <f t="shared" si="17"/>
        <v>201780.75</v>
      </c>
      <c r="T30" s="74">
        <f t="shared" si="17"/>
        <v>201780.75</v>
      </c>
      <c r="U30" s="113">
        <f t="shared" si="9"/>
        <v>1500000</v>
      </c>
      <c r="V30" s="64">
        <f t="shared" si="10"/>
        <v>0</v>
      </c>
    </row>
    <row r="31" spans="1:22" ht="38.25" x14ac:dyDescent="0.25">
      <c r="A31" s="2" t="s">
        <v>79</v>
      </c>
      <c r="B31" s="3" t="s">
        <v>80</v>
      </c>
      <c r="C31" s="64">
        <v>0</v>
      </c>
      <c r="D31" s="92">
        <v>1075935</v>
      </c>
      <c r="E31" s="93"/>
      <c r="F31" s="93"/>
      <c r="G31" s="94"/>
      <c r="H31" s="65">
        <f t="shared" si="7"/>
        <v>1075935</v>
      </c>
      <c r="I31" s="72"/>
      <c r="J31" s="73"/>
      <c r="K31" s="73"/>
      <c r="L31" s="63">
        <v>82943</v>
      </c>
      <c r="M31" s="73"/>
      <c r="N31" s="73"/>
      <c r="O31" s="73"/>
      <c r="P31" s="73"/>
      <c r="Q31" s="74">
        <f>992992/4</f>
        <v>248248</v>
      </c>
      <c r="R31" s="74">
        <f t="shared" ref="R31:T31" si="18">992992/4</f>
        <v>248248</v>
      </c>
      <c r="S31" s="74">
        <f t="shared" si="18"/>
        <v>248248</v>
      </c>
      <c r="T31" s="74">
        <f t="shared" si="18"/>
        <v>248248</v>
      </c>
      <c r="U31" s="113">
        <f t="shared" si="9"/>
        <v>1075935</v>
      </c>
      <c r="V31" s="64">
        <f t="shared" si="10"/>
        <v>0</v>
      </c>
    </row>
    <row r="32" spans="1:22" ht="38.25" x14ac:dyDescent="0.25">
      <c r="A32" s="2" t="s">
        <v>59</v>
      </c>
      <c r="B32" s="3" t="s">
        <v>60</v>
      </c>
      <c r="C32" s="64">
        <v>5000000</v>
      </c>
      <c r="D32" s="92"/>
      <c r="E32" s="93"/>
      <c r="F32" s="93"/>
      <c r="G32" s="94"/>
      <c r="H32" s="65">
        <f t="shared" si="7"/>
        <v>5000000</v>
      </c>
      <c r="I32" s="72"/>
      <c r="J32" s="73"/>
      <c r="K32" s="73"/>
      <c r="L32" s="73"/>
      <c r="M32" s="73"/>
      <c r="N32" s="73"/>
      <c r="O32" s="73">
        <v>4405397</v>
      </c>
      <c r="P32" s="73"/>
      <c r="Q32" s="74">
        <f>594603/3</f>
        <v>198201</v>
      </c>
      <c r="R32" s="74">
        <f t="shared" ref="R32:S32" si="19">594603/3</f>
        <v>198201</v>
      </c>
      <c r="S32" s="74">
        <f t="shared" si="19"/>
        <v>198201</v>
      </c>
      <c r="T32" s="75"/>
      <c r="U32" s="113">
        <f t="shared" si="9"/>
        <v>5000000</v>
      </c>
      <c r="V32" s="64">
        <f t="shared" si="10"/>
        <v>0</v>
      </c>
    </row>
    <row r="33" spans="1:22" ht="38.25" x14ac:dyDescent="0.25">
      <c r="A33" s="2" t="s">
        <v>61</v>
      </c>
      <c r="B33" s="3" t="s">
        <v>62</v>
      </c>
      <c r="C33" s="64">
        <v>24000000</v>
      </c>
      <c r="D33" s="92"/>
      <c r="E33" s="93"/>
      <c r="F33" s="93"/>
      <c r="G33" s="94"/>
      <c r="H33" s="65">
        <f t="shared" si="7"/>
        <v>24000000</v>
      </c>
      <c r="I33" s="72"/>
      <c r="J33" s="73"/>
      <c r="K33" s="73"/>
      <c r="L33" s="73"/>
      <c r="M33" s="73"/>
      <c r="N33" s="73"/>
      <c r="O33" s="73"/>
      <c r="P33" s="63">
        <v>5332000</v>
      </c>
      <c r="Q33" s="74">
        <f>18668000/3</f>
        <v>6222666.666666667</v>
      </c>
      <c r="R33" s="74">
        <f t="shared" ref="R33:S33" si="20">18668000/3</f>
        <v>6222666.666666667</v>
      </c>
      <c r="S33" s="74">
        <f t="shared" si="20"/>
        <v>6222666.666666667</v>
      </c>
      <c r="T33" s="75"/>
      <c r="U33" s="113">
        <f t="shared" si="9"/>
        <v>24000000.000000004</v>
      </c>
      <c r="V33" s="64">
        <f t="shared" si="10"/>
        <v>0</v>
      </c>
    </row>
    <row r="34" spans="1:22" ht="38.25" x14ac:dyDescent="0.25">
      <c r="A34" s="2" t="s">
        <v>81</v>
      </c>
      <c r="B34" s="3" t="s">
        <v>82</v>
      </c>
      <c r="C34" s="64">
        <v>0</v>
      </c>
      <c r="D34" s="92">
        <v>8000000</v>
      </c>
      <c r="E34" s="93"/>
      <c r="F34" s="93"/>
      <c r="G34" s="94"/>
      <c r="H34" s="65">
        <f t="shared" si="7"/>
        <v>8000000</v>
      </c>
      <c r="I34" s="72"/>
      <c r="J34" s="73"/>
      <c r="K34" s="73">
        <v>2000000</v>
      </c>
      <c r="L34" s="63">
        <v>2000000</v>
      </c>
      <c r="M34" s="63">
        <v>2000000</v>
      </c>
      <c r="N34" s="63">
        <v>2000000</v>
      </c>
      <c r="O34" s="73"/>
      <c r="P34" s="118"/>
      <c r="Q34" s="74"/>
      <c r="R34" s="74"/>
      <c r="S34" s="74"/>
      <c r="T34" s="75"/>
      <c r="U34" s="113">
        <f t="shared" si="9"/>
        <v>8000000</v>
      </c>
      <c r="V34" s="64">
        <f t="shared" si="10"/>
        <v>0</v>
      </c>
    </row>
    <row r="35" spans="1:22" ht="38.25" x14ac:dyDescent="0.25">
      <c r="A35" s="2" t="s">
        <v>63</v>
      </c>
      <c r="B35" s="3" t="s">
        <v>64</v>
      </c>
      <c r="C35" s="64">
        <v>7200000</v>
      </c>
      <c r="D35" s="92"/>
      <c r="E35" s="93"/>
      <c r="F35" s="93"/>
      <c r="G35" s="94"/>
      <c r="H35" s="65">
        <f t="shared" si="7"/>
        <v>7200000</v>
      </c>
      <c r="I35" s="72"/>
      <c r="J35" s="73"/>
      <c r="K35" s="73"/>
      <c r="L35" s="73"/>
      <c r="M35" s="73"/>
      <c r="N35" s="73"/>
      <c r="O35" s="73"/>
      <c r="P35" s="73"/>
      <c r="Q35" s="74">
        <f>7200000/3</f>
        <v>2400000</v>
      </c>
      <c r="R35" s="74">
        <f t="shared" ref="R35:S35" si="21">7200000/3</f>
        <v>2400000</v>
      </c>
      <c r="S35" s="74">
        <f t="shared" si="21"/>
        <v>2400000</v>
      </c>
      <c r="T35" s="75"/>
      <c r="U35" s="113">
        <f t="shared" si="9"/>
        <v>7200000</v>
      </c>
      <c r="V35" s="64">
        <f t="shared" si="10"/>
        <v>0</v>
      </c>
    </row>
    <row r="36" spans="1:22" ht="38.25" x14ac:dyDescent="0.25">
      <c r="A36" s="2" t="s">
        <v>65</v>
      </c>
      <c r="B36" s="3" t="s">
        <v>66</v>
      </c>
      <c r="C36" s="64">
        <v>8500000</v>
      </c>
      <c r="D36" s="92"/>
      <c r="E36" s="93"/>
      <c r="F36" s="93"/>
      <c r="G36" s="94"/>
      <c r="H36" s="65">
        <f t="shared" si="7"/>
        <v>8500000</v>
      </c>
      <c r="I36" s="72"/>
      <c r="J36" s="73"/>
      <c r="K36" s="73"/>
      <c r="L36" s="73"/>
      <c r="M36" s="73"/>
      <c r="N36" s="73"/>
      <c r="O36" s="73"/>
      <c r="P36" s="73"/>
      <c r="Q36" s="74">
        <f>8500000/3</f>
        <v>2833333.3333333335</v>
      </c>
      <c r="R36" s="74">
        <f t="shared" ref="R36:S36" si="22">8500000/3</f>
        <v>2833333.3333333335</v>
      </c>
      <c r="S36" s="74">
        <f t="shared" si="22"/>
        <v>2833333.3333333335</v>
      </c>
      <c r="T36" s="75"/>
      <c r="U36" s="113">
        <f t="shared" si="9"/>
        <v>8500000</v>
      </c>
      <c r="V36" s="64">
        <f t="shared" si="10"/>
        <v>0</v>
      </c>
    </row>
    <row r="37" spans="1:22" ht="38.25" x14ac:dyDescent="0.25">
      <c r="A37" s="2" t="s">
        <v>67</v>
      </c>
      <c r="B37" s="3" t="s">
        <v>68</v>
      </c>
      <c r="C37" s="64">
        <v>4800000</v>
      </c>
      <c r="D37" s="92"/>
      <c r="E37" s="93"/>
      <c r="F37" s="93"/>
      <c r="G37" s="94"/>
      <c r="H37" s="65">
        <f t="shared" si="7"/>
        <v>4800000</v>
      </c>
      <c r="I37" s="72"/>
      <c r="J37" s="73"/>
      <c r="K37" s="73"/>
      <c r="L37" s="73"/>
      <c r="M37" s="73"/>
      <c r="N37" s="73"/>
      <c r="O37" s="73"/>
      <c r="P37" s="73"/>
      <c r="Q37" s="74">
        <f>4800000/3</f>
        <v>1600000</v>
      </c>
      <c r="R37" s="74">
        <f>4800000/3</f>
        <v>1600000</v>
      </c>
      <c r="S37" s="74">
        <f>4800000/3</f>
        <v>1600000</v>
      </c>
      <c r="T37" s="75"/>
      <c r="U37" s="113">
        <f t="shared" si="9"/>
        <v>4800000</v>
      </c>
      <c r="V37" s="64">
        <f t="shared" si="10"/>
        <v>0</v>
      </c>
    </row>
    <row r="38" spans="1:22" ht="38.25" x14ac:dyDescent="0.25">
      <c r="A38" s="2" t="s">
        <v>69</v>
      </c>
      <c r="B38" s="3" t="s">
        <v>70</v>
      </c>
      <c r="C38" s="64">
        <v>6500000</v>
      </c>
      <c r="D38" s="92"/>
      <c r="E38" s="93"/>
      <c r="F38" s="93"/>
      <c r="G38" s="94"/>
      <c r="H38" s="65">
        <f t="shared" si="7"/>
        <v>6500000</v>
      </c>
      <c r="I38" s="72"/>
      <c r="J38" s="73"/>
      <c r="K38" s="73"/>
      <c r="L38" s="63">
        <v>688921</v>
      </c>
      <c r="M38" s="63">
        <v>742641</v>
      </c>
      <c r="N38" s="73"/>
      <c r="O38" s="73"/>
      <c r="P38" s="73"/>
      <c r="Q38" s="74">
        <f>5068438/3</f>
        <v>1689479.3333333333</v>
      </c>
      <c r="R38" s="74">
        <f t="shared" ref="R38:S38" si="23">5068438/3</f>
        <v>1689479.3333333333</v>
      </c>
      <c r="S38" s="74">
        <f t="shared" si="23"/>
        <v>1689479.3333333333</v>
      </c>
      <c r="T38" s="74"/>
      <c r="U38" s="113">
        <f t="shared" si="9"/>
        <v>6499999.9999999991</v>
      </c>
      <c r="V38" s="64">
        <f t="shared" si="10"/>
        <v>0</v>
      </c>
    </row>
    <row r="39" spans="1:22" ht="38.25" x14ac:dyDescent="0.25">
      <c r="A39" s="2" t="s">
        <v>71</v>
      </c>
      <c r="B39" s="3" t="s">
        <v>72</v>
      </c>
      <c r="C39" s="64">
        <v>1000</v>
      </c>
      <c r="D39" s="92">
        <v>6546317</v>
      </c>
      <c r="E39" s="93"/>
      <c r="F39" s="93"/>
      <c r="G39" s="94"/>
      <c r="H39" s="65">
        <f t="shared" si="7"/>
        <v>6547317</v>
      </c>
      <c r="I39" s="72">
        <v>46945</v>
      </c>
      <c r="J39" s="73">
        <v>1308030</v>
      </c>
      <c r="K39" s="73">
        <v>765517</v>
      </c>
      <c r="L39" s="73"/>
      <c r="M39" s="73"/>
      <c r="N39" s="73"/>
      <c r="O39" s="73"/>
      <c r="P39" s="63">
        <v>108989</v>
      </c>
      <c r="Q39" s="74">
        <f>4317836/4</f>
        <v>1079459</v>
      </c>
      <c r="R39" s="74">
        <f t="shared" ref="R39:T39" si="24">4317836/4</f>
        <v>1079459</v>
      </c>
      <c r="S39" s="74">
        <f t="shared" si="24"/>
        <v>1079459</v>
      </c>
      <c r="T39" s="74">
        <f t="shared" si="24"/>
        <v>1079459</v>
      </c>
      <c r="U39" s="113">
        <f t="shared" si="9"/>
        <v>6547317</v>
      </c>
      <c r="V39" s="64">
        <f t="shared" si="10"/>
        <v>0</v>
      </c>
    </row>
    <row r="40" spans="1:22" ht="25.5" x14ac:dyDescent="0.25">
      <c r="A40" s="2" t="s">
        <v>73</v>
      </c>
      <c r="B40" s="3" t="s">
        <v>74</v>
      </c>
      <c r="C40" s="64">
        <v>1000</v>
      </c>
      <c r="D40" s="92"/>
      <c r="E40" s="93"/>
      <c r="F40" s="93"/>
      <c r="G40" s="94"/>
      <c r="H40" s="65">
        <f t="shared" si="7"/>
        <v>1000</v>
      </c>
      <c r="I40" s="72"/>
      <c r="J40" s="73"/>
      <c r="K40" s="73"/>
      <c r="L40" s="73"/>
      <c r="M40" s="73"/>
      <c r="N40" s="73"/>
      <c r="O40" s="73"/>
      <c r="P40" s="73"/>
      <c r="Q40" s="74">
        <f>1000/4</f>
        <v>250</v>
      </c>
      <c r="R40" s="74">
        <f t="shared" ref="R40:T40" si="25">1000/4</f>
        <v>250</v>
      </c>
      <c r="S40" s="74">
        <f t="shared" si="25"/>
        <v>250</v>
      </c>
      <c r="T40" s="74">
        <f t="shared" si="25"/>
        <v>250</v>
      </c>
      <c r="U40" s="113">
        <f t="shared" si="9"/>
        <v>1000</v>
      </c>
      <c r="V40" s="64">
        <f t="shared" si="10"/>
        <v>0</v>
      </c>
    </row>
    <row r="41" spans="1:22" ht="13.5" thickBot="1" x14ac:dyDescent="0.3">
      <c r="A41" s="6"/>
      <c r="B41" s="7"/>
      <c r="C41" s="76"/>
      <c r="D41" s="100"/>
      <c r="E41" s="79"/>
      <c r="F41" s="79"/>
      <c r="G41" s="101"/>
      <c r="H41" s="102"/>
      <c r="I41" s="81"/>
      <c r="J41" s="82"/>
      <c r="K41" s="82"/>
      <c r="L41" s="82"/>
      <c r="M41" s="82"/>
      <c r="N41" s="82"/>
      <c r="O41" s="82"/>
      <c r="P41" s="82"/>
      <c r="Q41" s="83"/>
      <c r="R41" s="83"/>
      <c r="S41" s="83"/>
      <c r="T41" s="84"/>
      <c r="U41" s="114"/>
      <c r="V41" s="76"/>
    </row>
    <row r="42" spans="1:22" ht="13.5" thickBot="1" x14ac:dyDescent="0.3">
      <c r="A42" s="135" t="s">
        <v>26</v>
      </c>
      <c r="B42" s="136"/>
      <c r="C42" s="85">
        <f t="shared" ref="C42:V42" si="26">SUM(C22:C41)</f>
        <v>112503000</v>
      </c>
      <c r="D42" s="104">
        <f t="shared" si="26"/>
        <v>51561812</v>
      </c>
      <c r="E42" s="105">
        <f t="shared" si="26"/>
        <v>0</v>
      </c>
      <c r="F42" s="105">
        <f t="shared" si="26"/>
        <v>0</v>
      </c>
      <c r="G42" s="106">
        <f t="shared" si="26"/>
        <v>0</v>
      </c>
      <c r="H42" s="85">
        <f t="shared" si="26"/>
        <v>164064812</v>
      </c>
      <c r="I42" s="86">
        <f t="shared" si="26"/>
        <v>193196</v>
      </c>
      <c r="J42" s="87">
        <f t="shared" si="26"/>
        <v>1422627</v>
      </c>
      <c r="K42" s="87">
        <f t="shared" si="26"/>
        <v>2865774</v>
      </c>
      <c r="L42" s="87">
        <f t="shared" si="26"/>
        <v>2771864</v>
      </c>
      <c r="M42" s="87">
        <f t="shared" si="26"/>
        <v>21740084</v>
      </c>
      <c r="N42" s="87">
        <f t="shared" si="26"/>
        <v>28872612.920000002</v>
      </c>
      <c r="O42" s="87">
        <f t="shared" si="26"/>
        <v>4488340</v>
      </c>
      <c r="P42" s="87">
        <f t="shared" si="26"/>
        <v>5523932</v>
      </c>
      <c r="Q42" s="87">
        <f t="shared" si="26"/>
        <v>31552214.749999996</v>
      </c>
      <c r="R42" s="87">
        <f>SUM(R22:R41)</f>
        <v>31552214.749999996</v>
      </c>
      <c r="S42" s="87">
        <f>SUM(S22:S41)</f>
        <v>31552214.749999996</v>
      </c>
      <c r="T42" s="107">
        <f>SUM(T22:T41)</f>
        <v>1529737.75</v>
      </c>
      <c r="U42" s="115">
        <f t="shared" si="26"/>
        <v>164064811.92000002</v>
      </c>
      <c r="V42" s="85">
        <f t="shared" si="26"/>
        <v>8.0000001937150955E-2</v>
      </c>
    </row>
  </sheetData>
  <mergeCells count="67">
    <mergeCell ref="A1:V1"/>
    <mergeCell ref="A2:V2"/>
    <mergeCell ref="A3:V3"/>
    <mergeCell ref="A5:V5"/>
    <mergeCell ref="A6:A7"/>
    <mergeCell ref="B6:B7"/>
    <mergeCell ref="C6:C7"/>
    <mergeCell ref="D6:G6"/>
    <mergeCell ref="H6:H7"/>
    <mergeCell ref="I6:I7"/>
    <mergeCell ref="V6:V7"/>
    <mergeCell ref="S6:S7"/>
    <mergeCell ref="T6:T7"/>
    <mergeCell ref="U6:U7"/>
    <mergeCell ref="D9:E9"/>
    <mergeCell ref="F9:G9"/>
    <mergeCell ref="P6:P7"/>
    <mergeCell ref="Q6:Q7"/>
    <mergeCell ref="R6:R7"/>
    <mergeCell ref="J6:J7"/>
    <mergeCell ref="K6:K7"/>
    <mergeCell ref="L6:L7"/>
    <mergeCell ref="M6:M7"/>
    <mergeCell ref="N6:N7"/>
    <mergeCell ref="O6:O7"/>
    <mergeCell ref="D7:E7"/>
    <mergeCell ref="F7:G7"/>
    <mergeCell ref="D8:E8"/>
    <mergeCell ref="F8:G8"/>
    <mergeCell ref="D10:E10"/>
    <mergeCell ref="F10:G10"/>
    <mergeCell ref="D11:E11"/>
    <mergeCell ref="F11:G11"/>
    <mergeCell ref="D12:E12"/>
    <mergeCell ref="F12:G12"/>
    <mergeCell ref="A17:B17"/>
    <mergeCell ref="D17:E17"/>
    <mergeCell ref="F17:G17"/>
    <mergeCell ref="A19:V19"/>
    <mergeCell ref="D13:E13"/>
    <mergeCell ref="F13:G13"/>
    <mergeCell ref="D14:E14"/>
    <mergeCell ref="F14:G14"/>
    <mergeCell ref="D15:E15"/>
    <mergeCell ref="F15:G15"/>
    <mergeCell ref="C20:C21"/>
    <mergeCell ref="D20:G20"/>
    <mergeCell ref="H20:H21"/>
    <mergeCell ref="I20:I21"/>
    <mergeCell ref="D16:E16"/>
    <mergeCell ref="F16:G16"/>
    <mergeCell ref="V20:V21"/>
    <mergeCell ref="A42:B42"/>
    <mergeCell ref="P20:P21"/>
    <mergeCell ref="Q20:Q21"/>
    <mergeCell ref="R20:R21"/>
    <mergeCell ref="S20:S21"/>
    <mergeCell ref="T20:T21"/>
    <mergeCell ref="U20:U21"/>
    <mergeCell ref="J20:J21"/>
    <mergeCell ref="K20:K21"/>
    <mergeCell ref="L20:L21"/>
    <mergeCell ref="M20:M21"/>
    <mergeCell ref="N20:N21"/>
    <mergeCell ref="O20:O21"/>
    <mergeCell ref="A20:A21"/>
    <mergeCell ref="B20:B21"/>
  </mergeCells>
  <pageMargins left="0.39370078740157483" right="0.39370078740157483" top="0.39370078740157483" bottom="0.59055118110236227" header="0.39370078740157483" footer="0.39370078740157483"/>
  <pageSetup paperSize="258" scale="73" orientation="landscape" horizontalDpi="0" verticalDpi="0" r:id="rId1"/>
  <headerFooter>
    <oddFooter>&amp;L&amp;F&amp;C&amp;A&amp;R&amp;P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original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SIS</cp:lastModifiedBy>
  <cp:lastPrinted>2024-02-07T02:40:19Z</cp:lastPrinted>
  <dcterms:created xsi:type="dcterms:W3CDTF">2016-06-15T16:48:09Z</dcterms:created>
  <dcterms:modified xsi:type="dcterms:W3CDTF">2024-02-07T12:10:38Z</dcterms:modified>
</cp:coreProperties>
</file>